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codeName="TämäTyökirja" defaultThemeVersion="124226"/>
  <mc:AlternateContent xmlns:mc="http://schemas.openxmlformats.org/markup-compatibility/2006">
    <mc:Choice Requires="x15">
      <x15ac:absPath xmlns:x15ac="http://schemas.microsoft.com/office/spreadsheetml/2010/11/ac" url="https://unioulu-my.sharepoint.com/personal/karolimk_oamk_fi/Documents/Desktop/"/>
    </mc:Choice>
  </mc:AlternateContent>
  <xr:revisionPtr revIDLastSave="26" documentId="8_{365E68C7-BD27-4717-8731-96D0393C12CF}" xr6:coauthVersionLast="47" xr6:coauthVersionMax="47" xr10:uidLastSave="{4AA2AD7E-998F-425E-8D8C-C98C0FFAE4D4}"/>
  <bookViews>
    <workbookView xWindow="-110" yWindow="-110" windowWidth="25820" windowHeight="15500" tabRatio="633" xr2:uid="{00000000-000D-0000-FFFF-FFFF00000000}"/>
  </bookViews>
  <sheets>
    <sheet name="Info" sheetId="31" r:id="rId1"/>
    <sheet name="Turve" sheetId="29" r:id="rId2"/>
    <sheet name="Kuivajae, parsipeti" sheetId="26" r:id="rId3"/>
    <sheet name="Kuivajae, syväparsi" sheetId="30" r:id="rId4"/>
    <sheet name="Hiekkaparsi" sheetId="28" r:id="rId5"/>
    <sheet name="Ruokinta" sheetId="24" state="hidden" r:id="rId6"/>
    <sheet name="Tuet" sheetId="13" state="hidden" r:id="rId7"/>
    <sheet name="Työnmenekki" sheetId="16" state="hidden" r:id="rId8"/>
    <sheet name="Yleiskustannus" sheetId="19" state="hidden" r:id="rId9"/>
  </sheets>
  <definedNames>
    <definedName name="__123Graph_A" localSheetId="5" hidden="1">#REF!</definedName>
    <definedName name="__123Graph_A" hidden="1">#REF!</definedName>
    <definedName name="__123Graph_B" localSheetId="5" hidden="1">#REF!</definedName>
    <definedName name="__123Graph_B" hidden="1">#REF!</definedName>
    <definedName name="__123Graph_X" localSheetId="5" hidden="1">#REF!</definedName>
    <definedName name="__123Graph_X" hidden="1">#REF!</definedName>
    <definedName name="_1__123Graph_AA_KUVIO2" localSheetId="5" hidden="1">#REF!</definedName>
    <definedName name="_1__123Graph_AA_KUVIO2" hidden="1">#REF!</definedName>
    <definedName name="_123Grap_B" hidden="1">#REF!</definedName>
    <definedName name="_2__123Graph_BA_KUVIO2" localSheetId="5" hidden="1">#REF!</definedName>
    <definedName name="_2__123Graph_BA_KUVIO2" hidden="1">#REF!</definedName>
    <definedName name="_3__123Graph_XA_KUVIO2" localSheetId="5" hidden="1">#REF!</definedName>
    <definedName name="_3__123Graph_XA_KUVIO2" hidden="1">#REF!</definedName>
    <definedName name="_Fill" localSheetId="5" hidden="1">#REF!</definedName>
    <definedName name="_Fill" hidden="1">#REF!</definedName>
    <definedName name="_Regression_X" localSheetId="5" hidden="1">#REF!</definedName>
    <definedName name="_Regression_X" hidden="1">#REF!</definedName>
    <definedName name="_Regression_Y" localSheetId="5" hidden="1">#REF!</definedName>
    <definedName name="_Regression_Y" hidden="1">#REF!</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28" l="1"/>
  <c r="C24" i="30"/>
  <c r="C17" i="30"/>
  <c r="C16" i="30"/>
  <c r="C24" i="26"/>
  <c r="C17" i="26"/>
  <c r="C16" i="26"/>
  <c r="C17" i="29" l="1"/>
  <c r="C14" i="30"/>
  <c r="C23" i="28"/>
  <c r="C11" i="30"/>
  <c r="C14" i="26"/>
  <c r="C11" i="26"/>
  <c r="C13" i="29"/>
  <c r="C22" i="28"/>
  <c r="C9" i="28"/>
  <c r="C7" i="28"/>
  <c r="C5" i="30"/>
  <c r="C8" i="30"/>
  <c r="C9" i="30" s="1"/>
  <c r="C5" i="26"/>
  <c r="C15" i="26" s="1"/>
  <c r="C8" i="26"/>
  <c r="C9" i="26" s="1"/>
  <c r="C6" i="30" l="1"/>
  <c r="C15" i="30"/>
  <c r="C6" i="26"/>
  <c r="C7" i="26" s="1"/>
  <c r="C18" i="26" s="1"/>
  <c r="C21" i="29"/>
  <c r="C24" i="28"/>
  <c r="C20" i="30" l="1"/>
  <c r="C16" i="28"/>
  <c r="C20" i="28"/>
  <c r="C7" i="30"/>
  <c r="C18" i="30" s="1"/>
  <c r="C20" i="26"/>
  <c r="C19" i="26"/>
  <c r="C19" i="30" l="1"/>
  <c r="C28" i="30"/>
  <c r="C26" i="30" l="1"/>
  <c r="C27" i="30" s="1"/>
  <c r="C4" i="29"/>
  <c r="G8" i="19"/>
  <c r="F6" i="16"/>
  <c r="G9" i="24"/>
  <c r="F9" i="24"/>
  <c r="G7" i="24"/>
  <c r="K16" i="24"/>
  <c r="C9" i="29"/>
  <c r="C10" i="29" s="1"/>
  <c r="C5" i="29" l="1"/>
  <c r="L21" i="24"/>
  <c r="L20" i="24"/>
  <c r="M20" i="24" s="1"/>
  <c r="L19" i="24"/>
  <c r="L18" i="24"/>
  <c r="C6" i="29" l="1"/>
  <c r="C7" i="29"/>
  <c r="C20" i="29"/>
  <c r="C19" i="29" s="1"/>
  <c r="C6" i="28" l="1"/>
  <c r="C4" i="28" l="1"/>
  <c r="C11" i="28"/>
  <c r="C10" i="28" l="1"/>
  <c r="C28" i="26"/>
  <c r="C29" i="28" l="1"/>
  <c r="C30" i="28" s="1"/>
  <c r="C31" i="28" s="1"/>
  <c r="C26" i="26"/>
  <c r="C27" i="26" l="1"/>
  <c r="G16" i="24" l="1"/>
  <c r="H21" i="24" s="1"/>
  <c r="M21" i="24" l="1"/>
  <c r="E6" i="16" l="1"/>
  <c r="D6" i="16"/>
  <c r="F8" i="19"/>
  <c r="E8" i="19"/>
  <c r="F7" i="24" l="1"/>
  <c r="I21" i="24" s="1"/>
  <c r="H19" i="24" l="1"/>
  <c r="M19" i="24" s="1"/>
  <c r="H20" i="24"/>
  <c r="I20" i="24" s="1"/>
  <c r="H18" i="24"/>
  <c r="M18" i="24" l="1"/>
  <c r="M22" i="24" s="1"/>
  <c r="I18" i="24"/>
  <c r="E9" i="24" l="1"/>
  <c r="L11" i="24" l="1"/>
  <c r="L14" i="24" s="1"/>
  <c r="E7" i="24"/>
  <c r="L6" i="24"/>
  <c r="L7" i="24" s="1"/>
  <c r="C16" i="24"/>
  <c r="L8" i="24" l="1"/>
  <c r="L9" i="24"/>
  <c r="D21" i="24"/>
  <c r="D19" i="24"/>
  <c r="D18" i="24"/>
  <c r="D20" i="24"/>
  <c r="L13" i="24"/>
  <c r="L12" i="24"/>
  <c r="I19" i="24"/>
  <c r="E18" i="24" l="1"/>
  <c r="I22" i="24"/>
  <c r="E21" i="24" l="1"/>
  <c r="E19" i="24"/>
  <c r="E20" i="24" l="1"/>
  <c r="E22" i="24" s="1"/>
</calcChain>
</file>

<file path=xl/sharedStrings.xml><?xml version="1.0" encoding="utf-8"?>
<sst xmlns="http://schemas.openxmlformats.org/spreadsheetml/2006/main" count="344" uniqueCount="206">
  <si>
    <t>Kuivitusratkaisujen kustannusvertailulaskuri</t>
  </si>
  <si>
    <t>Kuivitus on keskeinen jatkuva maitotilan toiminto, jolla on merkitystä myös kulueränä maatilan taloudessa.</t>
  </si>
  <si>
    <t>Tässä tiedostossa on esitetty mallilaskelmia eri kuivitusratkaisujen kustannusten vertailuun. Laskelmassa huomioidaan materiaalin ja investointien kustannukset, mutta ei kuivitustyötä. Laskelmia voi hyödyntää päätöksenteon tukena ja niitä voi vapaasti muokata vastaamaan tilakohtaisia kustannuksia, kuten esimerkiksi kuivitusmateriaalin paikallista hintaa.</t>
  </si>
  <si>
    <r>
      <t xml:space="preserve">Laskelmapohja on tuotettu osana </t>
    </r>
    <r>
      <rPr>
        <i/>
        <sz val="12"/>
        <rFont val="Aptos"/>
        <family val="2"/>
      </rPr>
      <t xml:space="preserve">Lypsykarjojen vaihtoehtoiset kuivitusratkaisut </t>
    </r>
    <r>
      <rPr>
        <sz val="12"/>
        <rFont val="Aptos"/>
        <family val="2"/>
      </rPr>
      <t>-hanketta, jota toteuttivat Savonia-ammattikorkeakoulu, Keski-Pohjanmaan koulutusyhtymä, Luonnonvarakeskus, Oulun ammattikorkeakoulu, Oulun yliopiston Mittaustekniikanyksikkö, Työtehoseura ja Työterveyslaitos vuosina 2024-2026. Hanke oli EU-osarahoitteinen Pohjois-Savon Liiton kautta.</t>
    </r>
  </si>
  <si>
    <t>Turve kuivikkeena</t>
  </si>
  <si>
    <t>Lisätieto/huomautus</t>
  </si>
  <si>
    <t>Parsia kpl</t>
  </si>
  <si>
    <t>Number of cows (parcels)</t>
  </si>
  <si>
    <t>Kuiviketarve litraa/päivä/parsi</t>
  </si>
  <si>
    <t>Bedding consumption l/day/parcel</t>
  </si>
  <si>
    <r>
      <t>Kuiviketarve m</t>
    </r>
    <r>
      <rPr>
        <vertAlign val="superscript"/>
        <sz val="12"/>
        <color theme="1"/>
        <rFont val="Aptos"/>
        <family val="2"/>
      </rPr>
      <t>3</t>
    </r>
    <r>
      <rPr>
        <sz val="12"/>
        <color theme="1"/>
        <rFont val="Aptos"/>
        <family val="2"/>
      </rPr>
      <t>/v</t>
    </r>
  </si>
  <si>
    <t>Bedding requirement m3/a</t>
  </si>
  <si>
    <t xml:space="preserve"> =Parsia kpl*kuivikekäyttö/vrk/parsi*365 vrk/v</t>
  </si>
  <si>
    <t>Kuiviketarve t/v</t>
  </si>
  <si>
    <t>Bedding requirement t/a</t>
  </si>
  <si>
    <r>
      <t xml:space="preserve"> =Kuiviketarve m</t>
    </r>
    <r>
      <rPr>
        <vertAlign val="superscript"/>
        <sz val="12"/>
        <color theme="1"/>
        <rFont val="Aptos"/>
        <family val="2"/>
      </rPr>
      <t>3</t>
    </r>
    <r>
      <rPr>
        <sz val="12"/>
        <color theme="1"/>
        <rFont val="Aptos"/>
        <family val="2"/>
      </rPr>
      <t>/v*tiheys 0,330 t/m</t>
    </r>
    <r>
      <rPr>
        <vertAlign val="superscript"/>
        <sz val="12"/>
        <color theme="1"/>
        <rFont val="Aptos"/>
        <family val="2"/>
      </rPr>
      <t>3</t>
    </r>
  </si>
  <si>
    <t>Toimitusyksikköä, täysperävaunullista</t>
  </si>
  <si>
    <t>Delivery by full trailer trucks</t>
  </si>
  <si>
    <t>Toimitus noin 50 kuutiometrin nuppiautolla tai 130 kuutiometrin täysperävaunuautolla</t>
  </si>
  <si>
    <t>Kuivikesiilon rakennuskustannus</t>
  </si>
  <si>
    <t>Peat silo building cost</t>
  </si>
  <si>
    <t>Siilo 80m2, 2,3 m korkeilla elementeillä = 184m3, 40e/m3 + katto 150e/m2 https://www.finlex.fi/fi/lainsaadanto/saadoskokoelma/2023/608</t>
  </si>
  <si>
    <t>Annuiteettikustannus</t>
  </si>
  <si>
    <t>Annuity cost</t>
  </si>
  <si>
    <t>Korko 5%, kestoaika 20 vuotta</t>
  </si>
  <si>
    <t>Irtoturpeen hinta</t>
  </si>
  <si>
    <t>Loose peat purchase price</t>
  </si>
  <si>
    <t>eur/m3</t>
  </si>
  <si>
    <t>Rahti</t>
  </si>
  <si>
    <t>Freight</t>
  </si>
  <si>
    <t>Oletus 80 km. 2,5 e/km alle 50 km, 2,0 e/km 50-100 km. Kuormakoko 130 m3</t>
  </si>
  <si>
    <t>Rakenneratkaisujen lisähinta/lehmäpaikka</t>
  </si>
  <si>
    <t>Additional cost of structural solutions/stall</t>
  </si>
  <si>
    <t>Parsimatto</t>
  </si>
  <si>
    <t>Rubber mat</t>
  </si>
  <si>
    <t>eur</t>
  </si>
  <si>
    <t>Kestoaika</t>
  </si>
  <si>
    <t>Lifetime</t>
  </si>
  <si>
    <t>vuotta</t>
  </si>
  <si>
    <t>Parsimaton annuiteetti 5 % korolla</t>
  </si>
  <si>
    <t>Annuity with 5% interest rate</t>
  </si>
  <si>
    <t>eur/vuosi/parsipaikka</t>
  </si>
  <si>
    <t>Kuivituskustannus/parsipaikka</t>
  </si>
  <si>
    <t>Bedding cost/animal</t>
  </si>
  <si>
    <t>euroa/ parsipaikka</t>
  </si>
  <si>
    <t>Kuivituskustannus/navetta</t>
  </si>
  <si>
    <t>Bedding cost/barn</t>
  </si>
  <si>
    <t>euroa/ koko navetta / vuosi</t>
  </si>
  <si>
    <t>Kuivikkeen hinta sis. Rahti</t>
  </si>
  <si>
    <t>Bedding unit cost inc. transport</t>
  </si>
  <si>
    <t>e/m3</t>
  </si>
  <si>
    <t>Separoitu kuivajae, parsipedillä</t>
  </si>
  <si>
    <t>Manure separator + pump</t>
  </si>
  <si>
    <t>Number of cows (stalls)</t>
  </si>
  <si>
    <t>Lietesyöte separaattorille t/v</t>
  </si>
  <si>
    <t>Sludge feed to separator t/a</t>
  </si>
  <si>
    <t>Kuivajakeeksi 10 % lietemassasta</t>
  </si>
  <si>
    <t>Investointi ilman tukea €</t>
  </si>
  <si>
    <t>Investment without subsidy €</t>
  </si>
  <si>
    <t>Tuettu investointi (I) €</t>
  </si>
  <si>
    <t>Subsidized investment (I) €</t>
  </si>
  <si>
    <t>Tuki 40 %</t>
  </si>
  <si>
    <t>Kuivikesiilo ja muut kiinteät rakennelmat</t>
  </si>
  <si>
    <t>Silo for separated manure and other built structures</t>
  </si>
  <si>
    <t>Rakennelmien tuettu investointi (I) €</t>
  </si>
  <si>
    <t>Subsidized investment of structures (I) €</t>
  </si>
  <si>
    <t>Laskentakorko (p) %</t>
  </si>
  <si>
    <t>Discount rate (p) %</t>
  </si>
  <si>
    <t>Käyttöikä (n) v</t>
  </si>
  <si>
    <t>Machine lifetime (n) a</t>
  </si>
  <si>
    <t>Investoinnin annuiteetti €/v</t>
  </si>
  <si>
    <t>Investment annuity €/a</t>
  </si>
  <si>
    <r>
      <t xml:space="preserve"> = I*(p(1+p)</t>
    </r>
    <r>
      <rPr>
        <vertAlign val="superscript"/>
        <sz val="12"/>
        <rFont val="Aptos"/>
        <family val="2"/>
      </rPr>
      <t>n</t>
    </r>
    <r>
      <rPr>
        <sz val="12"/>
        <rFont val="Aptos"/>
        <family val="2"/>
      </rPr>
      <t>)/((1+p)</t>
    </r>
    <r>
      <rPr>
        <vertAlign val="superscript"/>
        <sz val="12"/>
        <rFont val="Aptos"/>
        <family val="2"/>
      </rPr>
      <t>n</t>
    </r>
    <r>
      <rPr>
        <sz val="12"/>
        <rFont val="Aptos"/>
        <family val="2"/>
      </rPr>
      <t>-1)</t>
    </r>
  </si>
  <si>
    <t>Ylläpitokustannus €/v</t>
  </si>
  <si>
    <t>Maintenance cost €/a</t>
  </si>
  <si>
    <t>Varaosat noin 200 euroa/100 m3 separointia</t>
  </si>
  <si>
    <t>Separaattorin huoltotyö €/v</t>
  </si>
  <si>
    <t>Maintenance work €/a</t>
  </si>
  <si>
    <t>Seulojen puhdistus, öljyn tarkastus ym. 100 m3 välein 1h</t>
  </si>
  <si>
    <t>Separaattorin päivittäinen käyttö €/v</t>
  </si>
  <si>
    <t>Daily use of the separator €/a</t>
  </si>
  <si>
    <t>30 min per päivä</t>
  </si>
  <si>
    <t>Sähkökustannus €/v</t>
  </si>
  <si>
    <t>Electricity cost €/a</t>
  </si>
  <si>
    <t xml:space="preserve"> =Liete t/v*0,8 kWh/t*0,12 €/kWh</t>
  </si>
  <si>
    <t>Sähkön kulutus (kWh)</t>
  </si>
  <si>
    <t>Electricity consumption (kWh)</t>
  </si>
  <si>
    <t>kWh</t>
  </si>
  <si>
    <t>Separointikustannus yhteensä €/v</t>
  </si>
  <si>
    <t>Total separation cost €/a</t>
  </si>
  <si>
    <t xml:space="preserve"> = Annuiteetti+Ylläpito+Työ+Sähkö</t>
  </si>
  <si>
    <r>
      <t>Separointikustannus €/m</t>
    </r>
    <r>
      <rPr>
        <b/>
        <vertAlign val="superscript"/>
        <sz val="12"/>
        <color theme="1"/>
        <rFont val="Aptos"/>
        <family val="2"/>
      </rPr>
      <t>3</t>
    </r>
    <r>
      <rPr>
        <b/>
        <sz val="12"/>
        <color theme="1"/>
        <rFont val="Aptos"/>
        <family val="2"/>
      </rPr>
      <t xml:space="preserve"> kuiviketta</t>
    </r>
  </si>
  <si>
    <t>Bedding unit cost per m3</t>
  </si>
  <si>
    <r>
      <t xml:space="preserve"> =Sep.kust. yht. / Kuiviketarve m</t>
    </r>
    <r>
      <rPr>
        <vertAlign val="superscript"/>
        <sz val="12"/>
        <color theme="1"/>
        <rFont val="Aptos"/>
        <family val="2"/>
      </rPr>
      <t>3</t>
    </r>
    <r>
      <rPr>
        <sz val="12"/>
        <color theme="1"/>
        <rFont val="Aptos"/>
        <family val="2"/>
      </rPr>
      <t>/v</t>
    </r>
  </si>
  <si>
    <t>Laskelman pohjatiedot FarmGasPS2 - hanke</t>
  </si>
  <si>
    <t>Separoitu kuivajae syväparressa</t>
  </si>
  <si>
    <t>Hanketiloilla käyttö 30-75 litraa päivässä</t>
  </si>
  <si>
    <r>
      <t>Kuiviketarve m</t>
    </r>
    <r>
      <rPr>
        <vertAlign val="superscript"/>
        <sz val="12"/>
        <color theme="1"/>
        <rFont val="Aptos"/>
        <family val="2"/>
      </rPr>
      <t>3</t>
    </r>
    <r>
      <rPr>
        <sz val="12"/>
        <color theme="1"/>
        <rFont val="Aptos"/>
        <family val="2"/>
      </rPr>
      <t>/v*tiheys 0,4 t/m</t>
    </r>
    <r>
      <rPr>
        <vertAlign val="superscript"/>
        <sz val="12"/>
        <color theme="1"/>
        <rFont val="Aptos"/>
        <family val="2"/>
      </rPr>
      <t>3</t>
    </r>
  </si>
  <si>
    <t>Sludge feed to separator t/v</t>
  </si>
  <si>
    <t>Machine lifetime (n) v</t>
  </si>
  <si>
    <t>Investment annuity €/v</t>
  </si>
  <si>
    <t>Maintenance cost €/v</t>
  </si>
  <si>
    <t>Seulojen puhdistus, öljyn tarkastus ym. 100 m3 välein 1h. Työtunnin hinta 17,20€</t>
  </si>
  <si>
    <t>Electricity cost €/v</t>
  </si>
  <si>
    <t>Total separation cost €/v</t>
  </si>
  <si>
    <t>Kuivikekustannus/parsipaikka</t>
  </si>
  <si>
    <t>Kuivikekustannus/navetta</t>
  </si>
  <si>
    <t>Hiekkaparret</t>
  </si>
  <si>
    <r>
      <t>Hiekan tarve m</t>
    </r>
    <r>
      <rPr>
        <vertAlign val="superscript"/>
        <sz val="12"/>
        <color theme="1"/>
        <rFont val="Aptos"/>
        <family val="2"/>
      </rPr>
      <t>3</t>
    </r>
    <r>
      <rPr>
        <sz val="12"/>
        <color theme="1"/>
        <rFont val="Aptos"/>
        <family val="2"/>
      </rPr>
      <t>/v</t>
    </r>
  </si>
  <si>
    <t>Sand requirement m3/a</t>
  </si>
  <si>
    <r>
      <t>Hiekan tarve m</t>
    </r>
    <r>
      <rPr>
        <vertAlign val="superscript"/>
        <sz val="12"/>
        <color theme="1"/>
        <rFont val="Aptos"/>
        <family val="2"/>
      </rPr>
      <t>3</t>
    </r>
    <r>
      <rPr>
        <sz val="12"/>
        <color theme="1"/>
        <rFont val="Aptos"/>
        <family val="2"/>
      </rPr>
      <t>/v*kuutiopaino 1,5 t/m</t>
    </r>
    <r>
      <rPr>
        <vertAlign val="superscript"/>
        <sz val="12"/>
        <color theme="1"/>
        <rFont val="Aptos"/>
        <family val="2"/>
      </rPr>
      <t>3</t>
    </r>
  </si>
  <si>
    <t>Hiekan kulutus, kg/parsi</t>
  </si>
  <si>
    <t>Sand consumption, kg/parcel</t>
  </si>
  <si>
    <t>Hanketiloilla 1,4-9,6 t/vuosi/parsi = 4 kg - 26 kg/parsi/päivä</t>
  </si>
  <si>
    <t>Hiekan tarve t/v</t>
  </si>
  <si>
    <t>Sand requirement t/a</t>
  </si>
  <si>
    <t xml:space="preserve"> =Parsia kpl*0.02t/vrk/parsi*365 vrk/v</t>
  </si>
  <si>
    <t>Hiekan hankintahinta, e/m3</t>
  </si>
  <si>
    <t>Sand purchase price e/m3</t>
  </si>
  <si>
    <t>Hiekan kuutiopaino 1,5 t/m3</t>
  </si>
  <si>
    <t>Hiekan hankintahinta, e/t</t>
  </si>
  <si>
    <t>Sand purchase price e/t</t>
  </si>
  <si>
    <t>Hankintahinta</t>
  </si>
  <si>
    <t>Rahti tilalle, e/t</t>
  </si>
  <si>
    <t>Oletus 40 km. 2,5 e/km alle 50 km, 2,0 e/km 50-100 km. Kuormakoko 48 tn</t>
  </si>
  <si>
    <t>Hiekan kustannus/parsipaikka</t>
  </si>
  <si>
    <t>Sand cost/stall</t>
  </si>
  <si>
    <t>Hiekan kustannus yhteensä</t>
  </si>
  <si>
    <t>Sand total cost</t>
  </si>
  <si>
    <t>eur/vuosi</t>
  </si>
  <si>
    <t>Syväparren puhdistus</t>
  </si>
  <si>
    <t>Deep stall annual cleaning</t>
  </si>
  <si>
    <t>2-5 vuoden välein kovettuneen pohjahiekan poisto pienkaivurilla</t>
  </si>
  <si>
    <t>Laskeutetun hiekan poisto kaivurilla laskeutusaltaassa</t>
  </si>
  <si>
    <t>Removing settled sand from the slurry tank with an excavator</t>
  </si>
  <si>
    <t>Kaivurilla 4-8 kertaa vuodessa</t>
  </si>
  <si>
    <t>Laskeutetun hiekan levitys kuivalantavaunulla</t>
  </si>
  <si>
    <t>Spreading settled sand with a dry manure wagon</t>
  </si>
  <si>
    <t>Lannanpoistolaitteiden kuluminen</t>
  </si>
  <si>
    <t>Increased wear of manure removal equipment</t>
  </si>
  <si>
    <t>Arvio</t>
  </si>
  <si>
    <t xml:space="preserve">Lypsyrobotin kuluminen </t>
  </si>
  <si>
    <t>Increased wear of a milking robot</t>
  </si>
  <si>
    <t>Arvio 600 e/robotti</t>
  </si>
  <si>
    <t>Laskeutusallas ennen lietesäiliötä, €</t>
  </si>
  <si>
    <t>P*L*K 30*6*3m=540m3, 30e/m3. Patoluukku 2,5 metrin korkeudessa. Kattaminen esim. siirrettävillä Sandwich-elementeillä</t>
  </si>
  <si>
    <t>Tuettu investointi, €</t>
  </si>
  <si>
    <t>Lannan tehokkaan käsittelyn investointiavustus 40 % v. 2025</t>
  </si>
  <si>
    <t>Laskeutusaltaan kustannus per lehmäpaikka</t>
  </si>
  <si>
    <t>Rakenneratkaisujen lisähinta navetassa/lehmäpaikka</t>
  </si>
  <si>
    <t>Kuivikeustannus/parsipaikka</t>
  </si>
  <si>
    <t>euroa/ parsipaikka / vuosi</t>
  </si>
  <si>
    <t>Hiekan käytön kokonaiskustannus</t>
  </si>
  <si>
    <t>RUOKINTA</t>
  </si>
  <si>
    <t>-laadittu Lypsikki-sovelluksella rehukustannusta minimoiden</t>
  </si>
  <si>
    <t>Tuotosvaihtoehdot</t>
  </si>
  <si>
    <t>Lähtötiedot 1</t>
  </si>
  <si>
    <t>Lähtötiedot 2</t>
  </si>
  <si>
    <t>Lähtötiedot 3</t>
  </si>
  <si>
    <t>Poikimaväli</t>
  </si>
  <si>
    <t>Ylläpitotarve, kg ka /pv*</t>
  </si>
  <si>
    <t>- josta säilörehua</t>
  </si>
  <si>
    <t>Lypsypäiviä/vuosi</t>
  </si>
  <si>
    <t>- josta viljaa</t>
  </si>
  <si>
    <t>- josta kivennäistä</t>
  </si>
  <si>
    <t>Ruokintapäiviä</t>
  </si>
  <si>
    <t>Tiineystarve, kg ka*</t>
  </si>
  <si>
    <t>*Oletus: 0,1 kg ka/MJ</t>
  </si>
  <si>
    <t>Vakio- ja keskituotos</t>
  </si>
  <si>
    <t>kg EKM/pv</t>
  </si>
  <si>
    <t>Nurmisäilörehu</t>
  </si>
  <si>
    <t>Vilja</t>
  </si>
  <si>
    <t>Rypsi R</t>
  </si>
  <si>
    <t>Kivennäinen, kg</t>
  </si>
  <si>
    <t>Rehu,kg ka / pv</t>
  </si>
  <si>
    <t>Ohra</t>
  </si>
  <si>
    <t>Lypsykivennäinen</t>
  </si>
  <si>
    <t>TUET</t>
  </si>
  <si>
    <t>Valtioneuvoston asetus</t>
  </si>
  <si>
    <t>1273/2023</t>
  </si>
  <si>
    <t>41/2024</t>
  </si>
  <si>
    <t>Tuet 2017</t>
  </si>
  <si>
    <t xml:space="preserve">Rajoite </t>
  </si>
  <si>
    <t>Lypsylehmä-palkkio</t>
  </si>
  <si>
    <t>Maidon tuotantotuki</t>
  </si>
  <si>
    <t>Hakija voi saada tukivuoden aikana tukea enintään seuraavasta litramäärästä: </t>
  </si>
  <si>
    <t>Paljonko tukialueittain maitoa, karjaa</t>
  </si>
  <si>
    <t>€/eläin</t>
  </si>
  <si>
    <t>1.1.–31.12.2025 eur/litra</t>
  </si>
  <si>
    <t>AB</t>
  </si>
  <si>
    <t>C1</t>
  </si>
  <si>
    <t>C2</t>
  </si>
  <si>
    <t>C2pohj. , C-saar.</t>
  </si>
  <si>
    <t>C3P1</t>
  </si>
  <si>
    <t>C3P2</t>
  </si>
  <si>
    <t>C3P3-P4</t>
  </si>
  <si>
    <t>C4P4</t>
  </si>
  <si>
    <t>C4P5</t>
  </si>
  <si>
    <t>TYÖNMENEKKI</t>
  </si>
  <si>
    <t>Lähde: Taloustohtori, vuoden 2019 maitotilojen suuruusluokittaiset keskiarvot</t>
  </si>
  <si>
    <t>Työnmenekki Y = b0 * (x**b1)</t>
  </si>
  <si>
    <t>YLEISKUSTANNUS</t>
  </si>
  <si>
    <t xml:space="preserve">Aineisto: </t>
  </si>
  <si>
    <t>Kannattavuuskirjanpidon maitotilat 2011 (N=335), indeksikorjaus Kuluttajahintaindeksillä=2010=100</t>
  </si>
  <si>
    <t>Yleiskustannuksessa mukana vakuutukset (pl. MYEL) ja muu kiinteä kustannus</t>
  </si>
  <si>
    <t>Yleiskustannus Y = b0 * (x**b1)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</si>
</sst>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4" formatCode="0.000"/>
    <numFmt numFmtId="165" formatCode="0.0"/>
    <numFmt numFmtId="166" formatCode="#,##0.0"/>
  </numFmts>
  <fonts count="26">
    <font>
      <sz val="10"/>
      <name val="Arial"/>
    </font>
    <font>
      <sz val="10"/>
      <name val="Arial"/>
      <family val="2"/>
    </font>
    <font>
      <sz val="12"/>
      <name val="Calibri"/>
      <family val="2"/>
      <scheme val="minor"/>
    </font>
    <font>
      <b/>
      <sz val="10"/>
      <name val="Arial"/>
      <family val="2"/>
    </font>
    <font>
      <sz val="9"/>
      <color indexed="8"/>
      <name val="Arial"/>
      <family val="2"/>
    </font>
    <font>
      <b/>
      <sz val="12"/>
      <name val="Calibri"/>
      <family val="2"/>
      <scheme val="minor"/>
    </font>
    <font>
      <b/>
      <sz val="11"/>
      <color theme="1"/>
      <name val="Calibri"/>
      <family val="2"/>
      <scheme val="minor"/>
    </font>
    <font>
      <sz val="10"/>
      <name val="Arial"/>
      <family val="2"/>
    </font>
    <font>
      <b/>
      <sz val="14"/>
      <name val="Calibri"/>
      <family val="2"/>
      <scheme val="minor"/>
    </font>
    <font>
      <sz val="12"/>
      <color rgb="FF000000"/>
      <name val="Calibri"/>
      <family val="2"/>
      <scheme val="minor"/>
    </font>
    <font>
      <b/>
      <sz val="13.5"/>
      <name val="Arial"/>
      <family val="2"/>
    </font>
    <font>
      <b/>
      <sz val="12"/>
      <color rgb="FF7030A0"/>
      <name val="Calibri"/>
      <family val="2"/>
      <scheme val="minor"/>
    </font>
    <font>
      <b/>
      <sz val="9"/>
      <color indexed="8"/>
      <name val="Arial"/>
      <family val="2"/>
    </font>
    <font>
      <sz val="8"/>
      <name val="Arial"/>
      <family val="2"/>
    </font>
    <font>
      <u/>
      <sz val="10"/>
      <color theme="10"/>
      <name val="Arial"/>
      <family val="2"/>
    </font>
    <font>
      <sz val="8"/>
      <name val="Arial"/>
    </font>
    <font>
      <b/>
      <sz val="12"/>
      <name val="Aptos"/>
      <family val="2"/>
    </font>
    <font>
      <sz val="12"/>
      <name val="Aptos"/>
      <family val="2"/>
    </font>
    <font>
      <i/>
      <sz val="12"/>
      <name val="Aptos"/>
      <family val="2"/>
    </font>
    <font>
      <b/>
      <sz val="12"/>
      <color theme="1"/>
      <name val="Aptos"/>
      <family val="2"/>
    </font>
    <font>
      <sz val="12"/>
      <color theme="1"/>
      <name val="Aptos"/>
      <family val="2"/>
    </font>
    <font>
      <vertAlign val="superscript"/>
      <sz val="12"/>
      <color theme="1"/>
      <name val="Aptos"/>
      <family val="2"/>
    </font>
    <font>
      <sz val="12"/>
      <color rgb="FFFF0000"/>
      <name val="Aptos"/>
      <family val="2"/>
    </font>
    <font>
      <vertAlign val="superscript"/>
      <sz val="12"/>
      <name val="Aptos"/>
      <family val="2"/>
    </font>
    <font>
      <b/>
      <vertAlign val="superscript"/>
      <sz val="12"/>
      <color theme="1"/>
      <name val="Aptos"/>
      <family val="2"/>
    </font>
    <font>
      <u/>
      <sz val="12"/>
      <color theme="10"/>
      <name val="Aptos"/>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9FFCC"/>
        <bgColor indexed="64"/>
      </patternFill>
    </fill>
    <fill>
      <patternFill patternType="solid">
        <fgColor rgb="FFD1E371"/>
        <bgColor indexed="64"/>
      </patternFill>
    </fill>
  </fills>
  <borders count="7">
    <border>
      <left/>
      <right/>
      <top/>
      <bottom/>
      <diagonal/>
    </border>
    <border>
      <left style="thin">
        <color auto="1"/>
      </left>
      <right/>
      <top/>
      <bottom/>
      <diagonal/>
    </border>
    <border>
      <left/>
      <right style="thin">
        <color auto="1"/>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auto="1"/>
      </bottom>
      <diagonal/>
    </border>
    <border>
      <left style="thin">
        <color indexed="64"/>
      </left>
      <right style="thin">
        <color indexed="64"/>
      </right>
      <top/>
      <bottom/>
      <diagonal/>
    </border>
  </borders>
  <cellStyleXfs count="7">
    <xf numFmtId="0" fontId="0" fillId="0" borderId="0"/>
    <xf numFmtId="0" fontId="1" fillId="0" borderId="0"/>
    <xf numFmtId="0" fontId="1" fillId="0" borderId="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cellStyleXfs>
  <cellXfs count="106">
    <xf numFmtId="0" fontId="0" fillId="0" borderId="0" xfId="0"/>
    <xf numFmtId="0" fontId="1" fillId="0" borderId="0" xfId="0" applyFont="1"/>
    <xf numFmtId="0" fontId="3" fillId="0" borderId="0" xfId="0" applyFont="1"/>
    <xf numFmtId="0" fontId="1" fillId="0" borderId="0" xfId="2"/>
    <xf numFmtId="0" fontId="4" fillId="2" borderId="0" xfId="0" applyFont="1" applyFill="1"/>
    <xf numFmtId="0" fontId="1" fillId="0" borderId="0" xfId="2" applyAlignment="1">
      <alignment horizontal="right"/>
    </xf>
    <xf numFmtId="0" fontId="2" fillId="0" borderId="0" xfId="0" applyFont="1"/>
    <xf numFmtId="0" fontId="5" fillId="0" borderId="0" xfId="0" applyFont="1"/>
    <xf numFmtId="0" fontId="8" fillId="0" borderId="0" xfId="0" applyFont="1"/>
    <xf numFmtId="0" fontId="2" fillId="0" borderId="0" xfId="0" applyFont="1" applyAlignme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164" fontId="2" fillId="0" borderId="0" xfId="0" applyNumberFormat="1" applyFont="1"/>
    <xf numFmtId="1" fontId="2" fillId="0" borderId="0" xfId="0" applyNumberFormat="1" applyFont="1"/>
    <xf numFmtId="0" fontId="9" fillId="0" borderId="0" xfId="0" applyFont="1" applyAlignment="1">
      <alignment horizontal="center" vertical="center"/>
    </xf>
    <xf numFmtId="0" fontId="8" fillId="0" borderId="0" xfId="2" applyFont="1"/>
    <xf numFmtId="0" fontId="2" fillId="0" borderId="0" xfId="2" quotePrefix="1" applyFont="1"/>
    <xf numFmtId="0" fontId="2" fillId="0" borderId="0" xfId="2" applyFont="1"/>
    <xf numFmtId="0" fontId="2" fillId="0" borderId="0" xfId="2" applyFont="1" applyAlignment="1">
      <alignment horizontal="right"/>
    </xf>
    <xf numFmtId="0" fontId="2" fillId="0" borderId="0" xfId="0" quotePrefix="1" applyFont="1"/>
    <xf numFmtId="1" fontId="2" fillId="0" borderId="0" xfId="2" applyNumberFormat="1" applyFont="1" applyAlignment="1">
      <alignment horizontal="right"/>
    </xf>
    <xf numFmtId="165" fontId="2" fillId="0" borderId="0" xfId="0" applyNumberFormat="1" applyFont="1" applyAlignment="1">
      <alignment vertical="center"/>
    </xf>
    <xf numFmtId="165" fontId="2" fillId="0" borderId="0" xfId="2" applyNumberFormat="1" applyFont="1"/>
    <xf numFmtId="1" fontId="2" fillId="0" borderId="0" xfId="2" applyNumberFormat="1" applyFont="1"/>
    <xf numFmtId="2" fontId="2" fillId="0" borderId="0" xfId="2" quotePrefix="1" applyNumberFormat="1" applyFont="1" applyAlignment="1">
      <alignment horizontal="left"/>
    </xf>
    <xf numFmtId="2" fontId="2" fillId="0" borderId="0" xfId="2" applyNumberFormat="1" applyFont="1" applyAlignment="1">
      <alignment horizontal="center"/>
    </xf>
    <xf numFmtId="2" fontId="2" fillId="0" borderId="0" xfId="2" applyNumberFormat="1" applyFont="1"/>
    <xf numFmtId="2" fontId="2" fillId="0" borderId="0" xfId="2" applyNumberFormat="1" applyFont="1" applyAlignment="1">
      <alignment horizontal="right"/>
    </xf>
    <xf numFmtId="0" fontId="2" fillId="0" borderId="0" xfId="2" applyFont="1" applyAlignment="1">
      <alignment vertical="center"/>
    </xf>
    <xf numFmtId="0" fontId="5" fillId="0" borderId="0" xfId="0" applyFont="1" applyAlignment="1">
      <alignment horizontal="center"/>
    </xf>
    <xf numFmtId="0" fontId="0" fillId="0" borderId="0" xfId="0" applyAlignment="1">
      <alignment vertical="center" wrapText="1"/>
    </xf>
    <xf numFmtId="0" fontId="0" fillId="0" borderId="0" xfId="0" applyAlignment="1">
      <alignment wrapText="1"/>
    </xf>
    <xf numFmtId="0" fontId="0" fillId="0" borderId="0" xfId="0" applyAlignment="1">
      <alignment horizontal="center" wrapText="1"/>
    </xf>
    <xf numFmtId="0" fontId="10" fillId="0" borderId="0" xfId="0" applyFont="1" applyAlignment="1">
      <alignment vertical="center"/>
    </xf>
    <xf numFmtId="0" fontId="5" fillId="0" borderId="0" xfId="2" applyFont="1"/>
    <xf numFmtId="0" fontId="2" fillId="4" borderId="0" xfId="2" applyFont="1" applyFill="1"/>
    <xf numFmtId="0" fontId="5" fillId="4" borderId="0" xfId="2" applyFont="1" applyFill="1"/>
    <xf numFmtId="0" fontId="5" fillId="4" borderId="0" xfId="0" applyFont="1" applyFill="1"/>
    <xf numFmtId="14" fontId="2" fillId="0" borderId="0" xfId="0" applyNumberFormat="1" applyFont="1" applyAlignment="1">
      <alignment horizontal="center"/>
    </xf>
    <xf numFmtId="0" fontId="1" fillId="0" borderId="0" xfId="0" quotePrefix="1" applyFont="1" applyAlignment="1">
      <alignment horizontal="center"/>
    </xf>
    <xf numFmtId="0" fontId="9" fillId="0" borderId="0" xfId="0" applyFont="1" applyAlignment="1">
      <alignment horizontal="center" vertical="center" wrapText="1"/>
    </xf>
    <xf numFmtId="1" fontId="12" fillId="2" borderId="0" xfId="0" applyNumberFormat="1" applyFont="1" applyFill="1"/>
    <xf numFmtId="1" fontId="5" fillId="0" borderId="0" xfId="0" applyNumberFormat="1" applyFont="1"/>
    <xf numFmtId="0" fontId="11" fillId="0" borderId="0" xfId="2" applyFont="1"/>
    <xf numFmtId="0" fontId="11" fillId="0" borderId="0" xfId="0" applyFont="1"/>
    <xf numFmtId="0" fontId="6" fillId="0" borderId="0" xfId="0" applyFont="1"/>
    <xf numFmtId="2" fontId="0" fillId="0" borderId="0" xfId="0" applyNumberFormat="1"/>
    <xf numFmtId="0" fontId="1" fillId="0" borderId="0" xfId="0" applyFont="1" applyAlignment="1">
      <alignment vertical="center" wrapText="1"/>
    </xf>
    <xf numFmtId="0" fontId="1" fillId="0" borderId="0" xfId="0" applyFont="1" applyAlignment="1">
      <alignment horizontal="center"/>
    </xf>
    <xf numFmtId="0" fontId="3" fillId="0" borderId="0" xfId="0" applyFont="1" applyAlignment="1">
      <alignment horizontal="center" vertical="center"/>
    </xf>
    <xf numFmtId="0" fontId="17" fillId="0" borderId="0" xfId="0" applyFont="1"/>
    <xf numFmtId="0" fontId="17" fillId="0" borderId="0" xfId="0" applyFont="1" applyAlignment="1">
      <alignment horizontal="center"/>
    </xf>
    <xf numFmtId="0" fontId="20" fillId="3" borderId="4" xfId="0" applyFont="1" applyFill="1" applyBorder="1" applyAlignment="1">
      <alignment vertical="top"/>
    </xf>
    <xf numFmtId="0" fontId="20" fillId="3" borderId="5" xfId="0" applyFont="1" applyFill="1" applyBorder="1" applyAlignment="1">
      <alignment vertical="top"/>
    </xf>
    <xf numFmtId="3" fontId="20" fillId="3" borderId="5" xfId="0" applyNumberFormat="1" applyFont="1" applyFill="1" applyBorder="1" applyAlignment="1">
      <alignment horizontal="center" vertical="top" wrapText="1"/>
    </xf>
    <xf numFmtId="0" fontId="20" fillId="3" borderId="4" xfId="0" applyFont="1" applyFill="1" applyBorder="1" applyAlignment="1">
      <alignment horizontal="left" vertical="top"/>
    </xf>
    <xf numFmtId="4" fontId="20" fillId="3" borderId="5" xfId="0" applyNumberFormat="1" applyFont="1" applyFill="1" applyBorder="1" applyAlignment="1">
      <alignment horizontal="center" vertical="top" wrapText="1"/>
    </xf>
    <xf numFmtId="0" fontId="20" fillId="3" borderId="4" xfId="0" applyFont="1" applyFill="1" applyBorder="1"/>
    <xf numFmtId="0" fontId="22" fillId="0" borderId="0" xfId="0" applyFont="1"/>
    <xf numFmtId="166" fontId="20" fillId="3" borderId="5" xfId="0" applyNumberFormat="1" applyFont="1" applyFill="1" applyBorder="1" applyAlignment="1">
      <alignment horizontal="center" vertical="top" wrapText="1"/>
    </xf>
    <xf numFmtId="0" fontId="17" fillId="3" borderId="4" xfId="0" applyFont="1" applyFill="1" applyBorder="1" applyAlignment="1">
      <alignment horizontal="left"/>
    </xf>
    <xf numFmtId="0" fontId="20" fillId="3" borderId="4" xfId="0" applyFont="1" applyFill="1" applyBorder="1" applyAlignment="1">
      <alignment horizontal="left"/>
    </xf>
    <xf numFmtId="3" fontId="20" fillId="0" borderId="0" xfId="0" applyNumberFormat="1" applyFont="1" applyAlignment="1">
      <alignment horizontal="center"/>
    </xf>
    <xf numFmtId="0" fontId="20" fillId="3" borderId="2" xfId="0" applyFont="1" applyFill="1" applyBorder="1"/>
    <xf numFmtId="0" fontId="20" fillId="3" borderId="6" xfId="0" applyFont="1" applyFill="1" applyBorder="1"/>
    <xf numFmtId="0" fontId="20" fillId="3" borderId="1" xfId="0" applyFont="1" applyFill="1" applyBorder="1"/>
    <xf numFmtId="0" fontId="20" fillId="3" borderId="5" xfId="4" applyNumberFormat="1" applyFont="1" applyFill="1" applyBorder="1" applyAlignment="1">
      <alignment horizontal="center" vertical="top" wrapText="1"/>
    </xf>
    <xf numFmtId="1" fontId="20" fillId="3" borderId="5" xfId="0" applyNumberFormat="1" applyFont="1" applyFill="1" applyBorder="1" applyAlignment="1">
      <alignment horizontal="center" vertical="top"/>
    </xf>
    <xf numFmtId="3" fontId="17" fillId="0" borderId="0" xfId="0" applyNumberFormat="1" applyFont="1" applyAlignment="1">
      <alignment horizontal="center"/>
    </xf>
    <xf numFmtId="1" fontId="17" fillId="0" borderId="0" xfId="0" applyNumberFormat="1" applyFont="1" applyAlignment="1">
      <alignment horizontal="center"/>
    </xf>
    <xf numFmtId="0" fontId="17" fillId="0" borderId="3" xfId="0" applyFont="1" applyBorder="1" applyAlignment="1">
      <alignment horizontal="center"/>
    </xf>
    <xf numFmtId="0" fontId="20" fillId="3" borderId="5" xfId="0" applyFont="1" applyFill="1" applyBorder="1"/>
    <xf numFmtId="1" fontId="20" fillId="3" borderId="5" xfId="0" applyNumberFormat="1" applyFont="1" applyFill="1" applyBorder="1" applyAlignment="1">
      <alignment horizontal="center"/>
    </xf>
    <xf numFmtId="2" fontId="17" fillId="0" borderId="0" xfId="0" applyNumberFormat="1" applyFont="1"/>
    <xf numFmtId="8" fontId="17" fillId="0" borderId="0" xfId="0" applyNumberFormat="1" applyFont="1"/>
    <xf numFmtId="3" fontId="17" fillId="0" borderId="0" xfId="0" applyNumberFormat="1" applyFont="1"/>
    <xf numFmtId="1" fontId="17" fillId="0" borderId="0" xfId="0" applyNumberFormat="1" applyFont="1"/>
    <xf numFmtId="164" fontId="17" fillId="0" borderId="0" xfId="0" applyNumberFormat="1" applyFont="1"/>
    <xf numFmtId="0" fontId="20" fillId="0" borderId="4" xfId="0" applyFont="1" applyBorder="1"/>
    <xf numFmtId="0" fontId="20" fillId="0" borderId="5" xfId="0" applyFont="1" applyBorder="1"/>
    <xf numFmtId="1" fontId="20" fillId="0" borderId="5" xfId="0" applyNumberFormat="1" applyFont="1" applyBorder="1" applyAlignment="1">
      <alignment horizontal="center"/>
    </xf>
    <xf numFmtId="1" fontId="20" fillId="3" borderId="1" xfId="0" applyNumberFormat="1" applyFont="1" applyFill="1" applyBorder="1" applyAlignment="1">
      <alignment horizontal="center"/>
    </xf>
    <xf numFmtId="0" fontId="20" fillId="0" borderId="1" xfId="0" applyFont="1" applyBorder="1"/>
    <xf numFmtId="0" fontId="20" fillId="0" borderId="0" xfId="0" applyFont="1"/>
    <xf numFmtId="0" fontId="25" fillId="0" borderId="0" xfId="6" applyFont="1"/>
    <xf numFmtId="1" fontId="20" fillId="3" borderId="4" xfId="0" applyNumberFormat="1" applyFont="1" applyFill="1" applyBorder="1" applyAlignment="1">
      <alignment horizontal="center" vertical="top"/>
    </xf>
    <xf numFmtId="1" fontId="20" fillId="3" borderId="4" xfId="0" applyNumberFormat="1" applyFont="1" applyFill="1" applyBorder="1" applyAlignment="1">
      <alignment horizontal="center"/>
    </xf>
    <xf numFmtId="165" fontId="17" fillId="0" borderId="0" xfId="0" applyNumberFormat="1" applyFont="1"/>
    <xf numFmtId="1" fontId="20" fillId="0" borderId="4" xfId="0" applyNumberFormat="1" applyFont="1" applyBorder="1" applyAlignment="1">
      <alignment horizontal="center"/>
    </xf>
    <xf numFmtId="1" fontId="20" fillId="0" borderId="0" xfId="0" applyNumberFormat="1" applyFont="1" applyAlignment="1">
      <alignment horizontal="center"/>
    </xf>
    <xf numFmtId="0" fontId="20" fillId="0" borderId="2" xfId="0" applyFont="1" applyBorder="1"/>
    <xf numFmtId="3" fontId="20" fillId="3" borderId="4" xfId="0" applyNumberFormat="1" applyFont="1" applyFill="1" applyBorder="1" applyAlignment="1">
      <alignment horizontal="center" vertical="top" wrapText="1"/>
    </xf>
    <xf numFmtId="0" fontId="17" fillId="0" borderId="1" xfId="0" applyFont="1" applyBorder="1"/>
    <xf numFmtId="0" fontId="17" fillId="0" borderId="2" xfId="0" applyFont="1" applyBorder="1"/>
    <xf numFmtId="0" fontId="19" fillId="5" borderId="4" xfId="0" applyFont="1" applyFill="1" applyBorder="1"/>
    <xf numFmtId="3" fontId="16" fillId="5" borderId="5" xfId="0" applyNumberFormat="1" applyFont="1" applyFill="1" applyBorder="1" applyAlignment="1">
      <alignment horizontal="center"/>
    </xf>
    <xf numFmtId="0" fontId="20" fillId="5" borderId="4" xfId="0" applyFont="1" applyFill="1" applyBorder="1" applyAlignment="1">
      <alignment horizontal="left"/>
    </xf>
    <xf numFmtId="0" fontId="19" fillId="5" borderId="4" xfId="0" applyFont="1" applyFill="1" applyBorder="1" applyAlignment="1">
      <alignment vertical="top"/>
    </xf>
    <xf numFmtId="0" fontId="19" fillId="5" borderId="5" xfId="0" applyFont="1" applyFill="1" applyBorder="1" applyAlignment="1">
      <alignment vertical="top"/>
    </xf>
    <xf numFmtId="0" fontId="19" fillId="5" borderId="5" xfId="0" applyFont="1" applyFill="1" applyBorder="1" applyAlignment="1">
      <alignment horizontal="center" vertical="top" wrapText="1"/>
    </xf>
    <xf numFmtId="0" fontId="19" fillId="5" borderId="4" xfId="0" applyFont="1" applyFill="1" applyBorder="1" applyAlignment="1">
      <alignment horizontal="left" vertical="top"/>
    </xf>
    <xf numFmtId="1" fontId="19" fillId="5" borderId="4" xfId="0" applyNumberFormat="1" applyFont="1" applyFill="1" applyBorder="1" applyAlignment="1">
      <alignment horizontal="center"/>
    </xf>
    <xf numFmtId="0" fontId="17" fillId="0" borderId="0" xfId="0" applyFont="1" applyAlignment="1">
      <alignment horizontal="center"/>
    </xf>
    <xf numFmtId="0" fontId="17" fillId="0" borderId="0" xfId="0" applyFont="1" applyAlignment="1">
      <alignment horizontal="left" vertical="top" wrapText="1"/>
    </xf>
    <xf numFmtId="0" fontId="16" fillId="0" borderId="0" xfId="0" applyFont="1" applyAlignment="1">
      <alignment horizontal="left" wrapText="1"/>
    </xf>
    <xf numFmtId="0" fontId="1" fillId="0" borderId="0" xfId="0" applyFont="1" applyAlignment="1">
      <alignment horizontal="center"/>
    </xf>
  </cellXfs>
  <cellStyles count="7">
    <cellStyle name="Hyperlinkki" xfId="6" builtinId="8"/>
    <cellStyle name="Normaali" xfId="0" builtinId="0"/>
    <cellStyle name="Normaali 2" xfId="2" xr:uid="{00000000-0005-0000-0000-000002000000}"/>
    <cellStyle name="Prosentti 2" xfId="5" xr:uid="{00000000-0005-0000-0000-000006000000}"/>
    <cellStyle name="Prosenttia" xfId="4" builtinId="5"/>
    <cellStyle name="Prosenttia 2" xfId="3" xr:uid="{00000000-0005-0000-0000-000007000000}"/>
    <cellStyle name="Standard 10" xfId="1" xr:uid="{00000000-0005-0000-0000-000008000000}"/>
  </cellStyles>
  <dxfs count="0"/>
  <tableStyles count="0" defaultTableStyle="TableStyleMedium9" defaultPivotStyle="PivotStyleLight16"/>
  <colors>
    <mruColors>
      <color rgb="FFD1E371"/>
      <color rgb="FF99FFCC"/>
      <color rgb="FFCCECFF"/>
      <color rgb="FFFFCCFF"/>
      <color rgb="FFCCFFFF"/>
      <color rgb="FF66CCFF"/>
      <color rgb="FF66FFFF"/>
      <color rgb="FF99FF66"/>
      <color rgb="FFFF99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63500</xdr:colOff>
      <xdr:row>18</xdr:row>
      <xdr:rowOff>38100</xdr:rowOff>
    </xdr:from>
    <xdr:to>
      <xdr:col>7</xdr:col>
      <xdr:colOff>546100</xdr:colOff>
      <xdr:row>26</xdr:row>
      <xdr:rowOff>164003</xdr:rowOff>
    </xdr:to>
    <xdr:grpSp>
      <xdr:nvGrpSpPr>
        <xdr:cNvPr id="6" name="Ryhmä 5">
          <a:extLst>
            <a:ext uri="{FF2B5EF4-FFF2-40B4-BE49-F238E27FC236}">
              <a16:creationId xmlns:a16="http://schemas.microsoft.com/office/drawing/2014/main" id="{2600ACD4-50D0-51E8-F34D-941D3E515091}"/>
            </a:ext>
          </a:extLst>
        </xdr:cNvPr>
        <xdr:cNvGrpSpPr/>
      </xdr:nvGrpSpPr>
      <xdr:grpSpPr>
        <a:xfrm>
          <a:off x="63500" y="3914775"/>
          <a:ext cx="4749800" cy="1726103"/>
          <a:chOff x="63500" y="3962400"/>
          <a:chExt cx="4972050" cy="1751503"/>
        </a:xfrm>
      </xdr:grpSpPr>
      <xdr:pic>
        <xdr:nvPicPr>
          <xdr:cNvPr id="2" name="Kuva 1" descr="Euroopan unionin osarahoittama -logo">
            <a:extLst>
              <a:ext uri="{FF2B5EF4-FFF2-40B4-BE49-F238E27FC236}">
                <a16:creationId xmlns:a16="http://schemas.microsoft.com/office/drawing/2014/main" id="{98808DF7-803E-6364-BA9B-4823778C8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4428" y="4013200"/>
            <a:ext cx="2521122" cy="5937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 name="Kuva 2">
            <a:extLst>
              <a:ext uri="{FF2B5EF4-FFF2-40B4-BE49-F238E27FC236}">
                <a16:creationId xmlns:a16="http://schemas.microsoft.com/office/drawing/2014/main" id="{669656EA-2891-1272-6765-03C638D66AF2}"/>
              </a:ext>
            </a:extLst>
          </xdr:cNvPr>
          <xdr:cNvPicPr>
            <a:picLocks noChangeAspect="1"/>
          </xdr:cNvPicPr>
        </xdr:nvPicPr>
        <xdr:blipFill>
          <a:blip xmlns:r="http://schemas.openxmlformats.org/officeDocument/2006/relationships" r:embed="rId2"/>
          <a:stretch>
            <a:fillRect/>
          </a:stretch>
        </xdr:blipFill>
        <xdr:spPr>
          <a:xfrm>
            <a:off x="63500" y="3962400"/>
            <a:ext cx="2336800" cy="676218"/>
          </a:xfrm>
          <a:prstGeom prst="rect">
            <a:avLst/>
          </a:prstGeom>
        </xdr:spPr>
      </xdr:pic>
      <xdr:pic>
        <xdr:nvPicPr>
          <xdr:cNvPr id="5" name="Kuva 4">
            <a:extLst>
              <a:ext uri="{FF2B5EF4-FFF2-40B4-BE49-F238E27FC236}">
                <a16:creationId xmlns:a16="http://schemas.microsoft.com/office/drawing/2014/main" id="{C5E39DBE-56A9-5797-EEBC-D13E301EC4E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850" y="4806950"/>
            <a:ext cx="3937000" cy="906953"/>
          </a:xfrm>
          <a:prstGeom prst="rect">
            <a:avLst/>
          </a:prstGeom>
        </xdr:spPr>
      </xdr:pic>
    </xdr:grpSp>
    <xdr:clientData/>
  </xdr:twoCellAnchor>
  <xdr:twoCellAnchor editAs="oneCell">
    <xdr:from>
      <xdr:col>0</xdr:col>
      <xdr:colOff>28575</xdr:colOff>
      <xdr:row>27</xdr:row>
      <xdr:rowOff>19050</xdr:rowOff>
    </xdr:from>
    <xdr:to>
      <xdr:col>2</xdr:col>
      <xdr:colOff>123825</xdr:colOff>
      <xdr:row>29</xdr:row>
      <xdr:rowOff>66675</xdr:rowOff>
    </xdr:to>
    <xdr:pic>
      <xdr:nvPicPr>
        <xdr:cNvPr id="4" name="Kuva 3">
          <a:extLst>
            <a:ext uri="{FF2B5EF4-FFF2-40B4-BE49-F238E27FC236}">
              <a16:creationId xmlns:a16="http://schemas.microsoft.com/office/drawing/2014/main" id="{16CED4A7-95E4-356A-5E8D-863AFCFFEF88}"/>
            </a:ext>
            <a:ext uri="{147F2762-F138-4A5C-976F-8EAC2B608ADB}">
              <a16:predDERef xmlns:a16="http://schemas.microsoft.com/office/drawing/2014/main" pred="{2600ACD4-50D0-51E8-F34D-941D3E515091}"/>
            </a:ext>
          </a:extLst>
        </xdr:cNvPr>
        <xdr:cNvPicPr>
          <a:picLocks noChangeAspect="1"/>
        </xdr:cNvPicPr>
      </xdr:nvPicPr>
      <xdr:blipFill>
        <a:blip xmlns:r="http://schemas.openxmlformats.org/officeDocument/2006/relationships" r:embed="rId4"/>
        <a:stretch>
          <a:fillRect/>
        </a:stretch>
      </xdr:blipFill>
      <xdr:spPr>
        <a:xfrm>
          <a:off x="28575" y="5695950"/>
          <a:ext cx="1314450" cy="447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381000</xdr:colOff>
      <xdr:row>30</xdr:row>
      <xdr:rowOff>109459</xdr:rowOff>
    </xdr:to>
    <xdr:pic>
      <xdr:nvPicPr>
        <xdr:cNvPr id="4" name="Kuva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609600" y="5162550"/>
          <a:ext cx="6496050" cy="38337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13</xdr:col>
      <xdr:colOff>180975</xdr:colOff>
      <xdr:row>38</xdr:row>
      <xdr:rowOff>104775</xdr:rowOff>
    </xdr:to>
    <xdr:pic>
      <xdr:nvPicPr>
        <xdr:cNvPr id="8" name="Kuva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a:stretch>
          <a:fillRect/>
        </a:stretch>
      </xdr:blipFill>
      <xdr:spPr>
        <a:xfrm>
          <a:off x="609600" y="1800225"/>
          <a:ext cx="8134350" cy="4800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78FA8-ABB5-4048-A850-04F2633FCA27}">
  <dimension ref="A1:H23"/>
  <sheetViews>
    <sheetView tabSelected="1" workbookViewId="0">
      <selection activeCell="A13" sqref="A13:H18"/>
    </sheetView>
  </sheetViews>
  <sheetFormatPr defaultColWidth="9.140625" defaultRowHeight="15.95"/>
  <cols>
    <col min="1" max="7" width="9.140625" style="50"/>
    <col min="8" max="8" width="9.140625" style="50" customWidth="1"/>
    <col min="9" max="16384" width="9.140625" style="50"/>
  </cols>
  <sheetData>
    <row r="1" spans="1:8">
      <c r="A1" s="104" t="s">
        <v>0</v>
      </c>
      <c r="B1" s="104"/>
      <c r="C1" s="104"/>
      <c r="D1" s="104"/>
      <c r="E1" s="104"/>
      <c r="F1" s="104"/>
      <c r="G1" s="104"/>
      <c r="H1" s="104"/>
    </row>
    <row r="2" spans="1:8">
      <c r="A2" s="104"/>
      <c r="B2" s="104"/>
      <c r="C2" s="104"/>
      <c r="D2" s="104"/>
      <c r="E2" s="104"/>
      <c r="F2" s="104"/>
      <c r="G2" s="104"/>
      <c r="H2" s="104"/>
    </row>
    <row r="4" spans="1:8" ht="12.6" customHeight="1">
      <c r="A4" s="103" t="s">
        <v>1</v>
      </c>
      <c r="B4" s="103"/>
      <c r="C4" s="103"/>
      <c r="D4" s="103"/>
      <c r="E4" s="103"/>
      <c r="F4" s="103"/>
      <c r="G4" s="103"/>
      <c r="H4" s="103"/>
    </row>
    <row r="5" spans="1:8">
      <c r="A5" s="103"/>
      <c r="B5" s="103"/>
      <c r="C5" s="103"/>
      <c r="D5" s="103"/>
      <c r="E5" s="103"/>
      <c r="F5" s="103"/>
      <c r="G5" s="103"/>
      <c r="H5" s="103"/>
    </row>
    <row r="6" spans="1:8">
      <c r="A6" s="103"/>
      <c r="B6" s="103"/>
      <c r="C6" s="103"/>
      <c r="D6" s="103"/>
      <c r="E6" s="103"/>
      <c r="F6" s="103"/>
      <c r="G6" s="103"/>
      <c r="H6" s="103"/>
    </row>
    <row r="7" spans="1:8" ht="12.6" customHeight="1">
      <c r="A7" s="103" t="s">
        <v>2</v>
      </c>
      <c r="B7" s="103"/>
      <c r="C7" s="103"/>
      <c r="D7" s="103"/>
      <c r="E7" s="103"/>
      <c r="F7" s="103"/>
      <c r="G7" s="103"/>
      <c r="H7" s="103"/>
    </row>
    <row r="8" spans="1:8">
      <c r="A8" s="103"/>
      <c r="B8" s="103"/>
      <c r="C8" s="103"/>
      <c r="D8" s="103"/>
      <c r="E8" s="103"/>
      <c r="F8" s="103"/>
      <c r="G8" s="103"/>
      <c r="H8" s="103"/>
    </row>
    <row r="9" spans="1:8">
      <c r="A9" s="103"/>
      <c r="B9" s="103"/>
      <c r="C9" s="103"/>
      <c r="D9" s="103"/>
      <c r="E9" s="103"/>
      <c r="F9" s="103"/>
      <c r="G9" s="103"/>
      <c r="H9" s="103"/>
    </row>
    <row r="10" spans="1:8">
      <c r="A10" s="103"/>
      <c r="B10" s="103"/>
      <c r="C10" s="103"/>
      <c r="D10" s="103"/>
      <c r="E10" s="103"/>
      <c r="F10" s="103"/>
      <c r="G10" s="103"/>
      <c r="H10" s="103"/>
    </row>
    <row r="11" spans="1:8">
      <c r="A11" s="103"/>
      <c r="B11" s="103"/>
      <c r="C11" s="103"/>
      <c r="D11" s="103"/>
      <c r="E11" s="103"/>
      <c r="F11" s="103"/>
      <c r="G11" s="103"/>
      <c r="H11" s="103"/>
    </row>
    <row r="12" spans="1:8" ht="33.75" customHeight="1">
      <c r="A12" s="103"/>
      <c r="B12" s="103"/>
      <c r="C12" s="103"/>
      <c r="D12" s="103"/>
      <c r="E12" s="103"/>
      <c r="F12" s="103"/>
      <c r="G12" s="103"/>
      <c r="H12" s="103"/>
    </row>
    <row r="13" spans="1:8" ht="12" customHeight="1">
      <c r="A13" s="103" t="s">
        <v>3</v>
      </c>
      <c r="B13" s="103"/>
      <c r="C13" s="103"/>
      <c r="D13" s="103"/>
      <c r="E13" s="103"/>
      <c r="F13" s="103"/>
      <c r="G13" s="103"/>
      <c r="H13" s="103"/>
    </row>
    <row r="14" spans="1:8">
      <c r="A14" s="103"/>
      <c r="B14" s="103"/>
      <c r="C14" s="103"/>
      <c r="D14" s="103"/>
      <c r="E14" s="103"/>
      <c r="F14" s="103"/>
      <c r="G14" s="103"/>
      <c r="H14" s="103"/>
    </row>
    <row r="15" spans="1:8">
      <c r="A15" s="103"/>
      <c r="B15" s="103"/>
      <c r="C15" s="103"/>
      <c r="D15" s="103"/>
      <c r="E15" s="103"/>
      <c r="F15" s="103"/>
      <c r="G15" s="103"/>
      <c r="H15" s="103"/>
    </row>
    <row r="16" spans="1:8">
      <c r="A16" s="103"/>
      <c r="B16" s="103"/>
      <c r="C16" s="103"/>
      <c r="D16" s="103"/>
      <c r="E16" s="103"/>
      <c r="F16" s="103"/>
      <c r="G16" s="103"/>
      <c r="H16" s="103"/>
    </row>
    <row r="17" spans="1:8">
      <c r="A17" s="103"/>
      <c r="B17" s="103"/>
      <c r="C17" s="103"/>
      <c r="D17" s="103"/>
      <c r="E17" s="103"/>
      <c r="F17" s="103"/>
      <c r="G17" s="103"/>
      <c r="H17" s="103"/>
    </row>
    <row r="18" spans="1:8" ht="30.75" customHeight="1">
      <c r="A18" s="103"/>
      <c r="B18" s="103"/>
      <c r="C18" s="103"/>
      <c r="D18" s="103"/>
      <c r="E18" s="103"/>
      <c r="F18" s="103"/>
      <c r="G18" s="103"/>
      <c r="H18" s="103"/>
    </row>
    <row r="19" spans="1:8">
      <c r="A19" s="102"/>
      <c r="B19" s="102"/>
      <c r="C19" s="102"/>
      <c r="D19" s="102"/>
      <c r="E19" s="102"/>
      <c r="F19" s="102"/>
      <c r="G19" s="102"/>
      <c r="H19" s="102"/>
    </row>
    <row r="20" spans="1:8">
      <c r="A20" s="102"/>
      <c r="B20" s="102"/>
      <c r="C20" s="102"/>
      <c r="D20" s="102"/>
      <c r="E20" s="102"/>
      <c r="F20" s="102"/>
      <c r="G20" s="102"/>
      <c r="H20" s="102"/>
    </row>
    <row r="21" spans="1:8">
      <c r="A21" s="102"/>
      <c r="B21" s="102"/>
      <c r="C21" s="102"/>
      <c r="D21" s="102"/>
      <c r="E21" s="102"/>
      <c r="F21" s="102"/>
      <c r="G21" s="102"/>
      <c r="H21" s="102"/>
    </row>
    <row r="22" spans="1:8">
      <c r="A22" s="102"/>
      <c r="B22" s="102"/>
      <c r="C22" s="102"/>
      <c r="D22" s="102"/>
      <c r="E22" s="102"/>
      <c r="F22" s="102"/>
      <c r="G22" s="102"/>
      <c r="H22" s="102"/>
    </row>
    <row r="23" spans="1:8">
      <c r="A23" s="102"/>
      <c r="B23" s="102"/>
      <c r="C23" s="102"/>
      <c r="D23" s="102"/>
      <c r="E23" s="102"/>
      <c r="F23" s="102"/>
      <c r="G23" s="102"/>
      <c r="H23" s="102"/>
    </row>
  </sheetData>
  <mergeCells count="5">
    <mergeCell ref="A19:H23"/>
    <mergeCell ref="A4:H6"/>
    <mergeCell ref="A7:H12"/>
    <mergeCell ref="A1:H2"/>
    <mergeCell ref="A13:H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CB7B8-099D-4605-A961-248B4A860777}">
  <dimension ref="A2:M30"/>
  <sheetViews>
    <sheetView zoomScaleNormal="100" workbookViewId="0">
      <selection activeCell="A2" sqref="A2:D2"/>
    </sheetView>
  </sheetViews>
  <sheetFormatPr defaultColWidth="9.140625" defaultRowHeight="15.95"/>
  <cols>
    <col min="1" max="1" width="44.28515625" style="50" customWidth="1"/>
    <col min="2" max="2" width="6.7109375" style="50" hidden="1" customWidth="1"/>
    <col min="3" max="3" width="11.42578125" style="50" customWidth="1"/>
    <col min="4" max="4" width="109.140625" style="50" bestFit="1" customWidth="1"/>
    <col min="5" max="16384" width="9.140625" style="50"/>
  </cols>
  <sheetData>
    <row r="2" spans="1:13">
      <c r="A2" s="97" t="s">
        <v>4</v>
      </c>
      <c r="B2" s="98"/>
      <c r="C2" s="99"/>
      <c r="D2" s="100" t="s">
        <v>5</v>
      </c>
    </row>
    <row r="3" spans="1:13">
      <c r="A3" s="52" t="s">
        <v>6</v>
      </c>
      <c r="B3" s="53" t="s">
        <v>7</v>
      </c>
      <c r="C3" s="54">
        <v>135</v>
      </c>
      <c r="D3" s="55"/>
    </row>
    <row r="4" spans="1:13">
      <c r="A4" s="52" t="s">
        <v>8</v>
      </c>
      <c r="B4" s="53" t="s">
        <v>9</v>
      </c>
      <c r="C4" s="56">
        <f>3200/365</f>
        <v>8.7671232876712324</v>
      </c>
      <c r="D4" s="55"/>
    </row>
    <row r="5" spans="1:13" ht="18">
      <c r="A5" s="52" t="s">
        <v>10</v>
      </c>
      <c r="B5" s="53" t="s">
        <v>11</v>
      </c>
      <c r="C5" s="54">
        <f>C3*(C4/1000)*365</f>
        <v>432</v>
      </c>
      <c r="D5" s="57" t="s">
        <v>12</v>
      </c>
      <c r="E5" s="58"/>
      <c r="G5" s="58"/>
    </row>
    <row r="6" spans="1:13" ht="18">
      <c r="A6" s="52" t="s">
        <v>13</v>
      </c>
      <c r="B6" s="53" t="s">
        <v>14</v>
      </c>
      <c r="C6" s="54">
        <f>0.33*C5</f>
        <v>142.56</v>
      </c>
      <c r="D6" s="55" t="s">
        <v>15</v>
      </c>
      <c r="E6" s="58"/>
    </row>
    <row r="7" spans="1:13">
      <c r="A7" s="52" t="s">
        <v>16</v>
      </c>
      <c r="B7" s="53" t="s">
        <v>17</v>
      </c>
      <c r="C7" s="59">
        <f>C5/130</f>
        <v>3.3230769230769233</v>
      </c>
      <c r="D7" s="55" t="s">
        <v>18</v>
      </c>
      <c r="M7" s="58"/>
    </row>
    <row r="8" spans="1:13">
      <c r="A8" s="52"/>
      <c r="B8" s="53"/>
      <c r="C8" s="54"/>
      <c r="D8" s="55"/>
    </row>
    <row r="9" spans="1:13">
      <c r="A9" s="52" t="s">
        <v>19</v>
      </c>
      <c r="B9" s="53" t="s">
        <v>20</v>
      </c>
      <c r="C9" s="54">
        <f>40*184+80*150</f>
        <v>19360</v>
      </c>
      <c r="D9" s="55" t="s">
        <v>21</v>
      </c>
    </row>
    <row r="10" spans="1:13">
      <c r="A10" s="52" t="s">
        <v>22</v>
      </c>
      <c r="B10" s="53" t="s">
        <v>23</v>
      </c>
      <c r="C10" s="54">
        <f>-PMT(5%,20,C9)</f>
        <v>1553.4964880117839</v>
      </c>
      <c r="D10" s="55" t="s">
        <v>24</v>
      </c>
    </row>
    <row r="11" spans="1:13">
      <c r="A11" s="57"/>
      <c r="B11" s="57"/>
      <c r="C11" s="54"/>
      <c r="D11" s="60"/>
    </row>
    <row r="12" spans="1:13">
      <c r="A12" s="57" t="s">
        <v>25</v>
      </c>
      <c r="B12" s="57" t="s">
        <v>26</v>
      </c>
      <c r="C12" s="54">
        <v>20</v>
      </c>
      <c r="D12" s="61" t="s">
        <v>27</v>
      </c>
    </row>
    <row r="13" spans="1:13">
      <c r="A13" s="57" t="s">
        <v>28</v>
      </c>
      <c r="B13" s="57" t="s">
        <v>29</v>
      </c>
      <c r="C13" s="59">
        <f>2*80/130</f>
        <v>1.2307692307692308</v>
      </c>
      <c r="D13" s="55" t="s">
        <v>30</v>
      </c>
      <c r="J13" s="58"/>
    </row>
    <row r="14" spans="1:13">
      <c r="A14" s="53" t="s">
        <v>31</v>
      </c>
      <c r="B14" s="53" t="s">
        <v>32</v>
      </c>
      <c r="C14" s="62"/>
      <c r="D14" s="63"/>
      <c r="J14" s="58"/>
    </row>
    <row r="15" spans="1:13">
      <c r="A15" s="64" t="s">
        <v>33</v>
      </c>
      <c r="B15" s="65" t="s">
        <v>34</v>
      </c>
      <c r="C15" s="66">
        <v>150</v>
      </c>
      <c r="D15" s="57" t="s">
        <v>35</v>
      </c>
      <c r="J15" s="58"/>
    </row>
    <row r="16" spans="1:13">
      <c r="A16" s="53" t="s">
        <v>36</v>
      </c>
      <c r="B16" s="53" t="s">
        <v>37</v>
      </c>
      <c r="C16" s="66">
        <v>10</v>
      </c>
      <c r="D16" s="57" t="s">
        <v>38</v>
      </c>
      <c r="J16" s="58"/>
    </row>
    <row r="17" spans="1:10">
      <c r="A17" s="53" t="s">
        <v>39</v>
      </c>
      <c r="B17" s="53" t="s">
        <v>40</v>
      </c>
      <c r="C17" s="67">
        <f>-PMT(5%/100,C16,C15)</f>
        <v>15.041280929755194</v>
      </c>
      <c r="D17" s="52" t="s">
        <v>41</v>
      </c>
      <c r="J17" s="58"/>
    </row>
    <row r="18" spans="1:10">
      <c r="A18" s="57"/>
      <c r="B18" s="57"/>
      <c r="C18" s="54"/>
      <c r="D18" s="61"/>
      <c r="J18" s="58"/>
    </row>
    <row r="19" spans="1:10">
      <c r="A19" s="94" t="s">
        <v>42</v>
      </c>
      <c r="B19" s="94" t="s">
        <v>43</v>
      </c>
      <c r="C19" s="101">
        <f>C20/C3+C17</f>
        <v>94.487123860896602</v>
      </c>
      <c r="D19" s="96" t="s">
        <v>44</v>
      </c>
    </row>
    <row r="20" spans="1:10">
      <c r="A20" s="94" t="s">
        <v>45</v>
      </c>
      <c r="B20" s="94" t="s">
        <v>46</v>
      </c>
      <c r="C20" s="101">
        <f>(C12+C13)*C5+C10</f>
        <v>10725.188795704091</v>
      </c>
      <c r="D20" s="96" t="s">
        <v>47</v>
      </c>
    </row>
    <row r="21" spans="1:10">
      <c r="A21" s="94" t="s">
        <v>48</v>
      </c>
      <c r="B21" s="94" t="s">
        <v>49</v>
      </c>
      <c r="C21" s="101">
        <f>C12+C13</f>
        <v>21.23076923076923</v>
      </c>
      <c r="D21" s="96" t="s">
        <v>50</v>
      </c>
    </row>
    <row r="25" spans="1:10">
      <c r="C25" s="51"/>
    </row>
    <row r="26" spans="1:10">
      <c r="C26" s="51"/>
    </row>
    <row r="28" spans="1:10">
      <c r="C28" s="68"/>
    </row>
    <row r="29" spans="1:10">
      <c r="C29" s="69"/>
    </row>
    <row r="30" spans="1:10">
      <c r="C30" s="6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A84A6-9492-4391-A9A4-92ABDE0E297C}">
  <dimension ref="A1:H43"/>
  <sheetViews>
    <sheetView zoomScaleNormal="100" workbookViewId="0">
      <selection activeCell="A2" sqref="A2:D2"/>
    </sheetView>
  </sheetViews>
  <sheetFormatPr defaultColWidth="9.140625" defaultRowHeight="15.95"/>
  <cols>
    <col min="1" max="1" width="45.7109375" style="50" customWidth="1"/>
    <col min="2" max="2" width="41.42578125" style="50" hidden="1" customWidth="1"/>
    <col min="3" max="3" width="13" style="50" customWidth="1"/>
    <col min="4" max="4" width="61" style="50" customWidth="1"/>
    <col min="5" max="5" width="11.140625" style="50" bestFit="1" customWidth="1"/>
    <col min="6" max="6" width="14.140625" style="50" customWidth="1"/>
    <col min="7" max="9" width="9.140625" style="50"/>
    <col min="10" max="10" width="11.140625" style="50" customWidth="1"/>
    <col min="11" max="11" width="13.5703125" style="50" bestFit="1" customWidth="1"/>
    <col min="12" max="16384" width="9.140625" style="50"/>
  </cols>
  <sheetData>
    <row r="1" spans="1:7">
      <c r="C1" s="70"/>
    </row>
    <row r="2" spans="1:7">
      <c r="A2" s="97" t="s">
        <v>51</v>
      </c>
      <c r="B2" s="98" t="s">
        <v>52</v>
      </c>
      <c r="C2" s="99"/>
      <c r="D2" s="100" t="s">
        <v>5</v>
      </c>
    </row>
    <row r="3" spans="1:7">
      <c r="A3" s="52" t="s">
        <v>6</v>
      </c>
      <c r="B3" s="53" t="s">
        <v>53</v>
      </c>
      <c r="C3" s="67">
        <v>135</v>
      </c>
      <c r="D3" s="52"/>
    </row>
    <row r="4" spans="1:7">
      <c r="A4" s="52" t="s">
        <v>8</v>
      </c>
      <c r="B4" s="53" t="s">
        <v>9</v>
      </c>
      <c r="C4" s="67">
        <v>16.772602739726029</v>
      </c>
      <c r="D4" s="52"/>
    </row>
    <row r="5" spans="1:7" ht="18">
      <c r="A5" s="52" t="s">
        <v>10</v>
      </c>
      <c r="B5" s="53" t="s">
        <v>11</v>
      </c>
      <c r="C5" s="67">
        <f>C3*(C4/1000)*365</f>
        <v>826.47</v>
      </c>
      <c r="D5" s="57" t="s">
        <v>12</v>
      </c>
    </row>
    <row r="6" spans="1:7" ht="18">
      <c r="A6" s="52" t="s">
        <v>13</v>
      </c>
      <c r="B6" s="53" t="s">
        <v>14</v>
      </c>
      <c r="C6" s="67">
        <f>0.4*C5</f>
        <v>330.58800000000002</v>
      </c>
      <c r="D6" s="55" t="s">
        <v>15</v>
      </c>
    </row>
    <row r="7" spans="1:7">
      <c r="A7" s="52" t="s">
        <v>54</v>
      </c>
      <c r="B7" s="53" t="s">
        <v>55</v>
      </c>
      <c r="C7" s="67">
        <f>C6/0.1</f>
        <v>3305.88</v>
      </c>
      <c r="D7" s="52" t="s">
        <v>56</v>
      </c>
      <c r="F7" s="58"/>
    </row>
    <row r="8" spans="1:7">
      <c r="A8" s="57" t="s">
        <v>57</v>
      </c>
      <c r="B8" s="71" t="s">
        <v>58</v>
      </c>
      <c r="C8" s="72">
        <f>30000</f>
        <v>30000</v>
      </c>
      <c r="D8" s="57"/>
    </row>
    <row r="9" spans="1:7">
      <c r="A9" s="57" t="s">
        <v>59</v>
      </c>
      <c r="B9" s="71" t="s">
        <v>60</v>
      </c>
      <c r="C9" s="72">
        <f>C8*0.6</f>
        <v>18000</v>
      </c>
      <c r="D9" s="57" t="s">
        <v>61</v>
      </c>
    </row>
    <row r="10" spans="1:7">
      <c r="A10" s="57" t="s">
        <v>62</v>
      </c>
      <c r="B10" s="71" t="s">
        <v>63</v>
      </c>
      <c r="C10" s="72">
        <v>4000</v>
      </c>
      <c r="D10" s="57"/>
    </row>
    <row r="11" spans="1:7">
      <c r="A11" s="57" t="s">
        <v>64</v>
      </c>
      <c r="B11" s="71" t="s">
        <v>65</v>
      </c>
      <c r="C11" s="72">
        <f>C10*0.6</f>
        <v>2400</v>
      </c>
      <c r="D11" s="57" t="s">
        <v>61</v>
      </c>
    </row>
    <row r="12" spans="1:7">
      <c r="A12" s="57" t="s">
        <v>66</v>
      </c>
      <c r="B12" s="71" t="s">
        <v>67</v>
      </c>
      <c r="C12" s="72">
        <v>5</v>
      </c>
      <c r="D12" s="57"/>
      <c r="G12" s="73"/>
    </row>
    <row r="13" spans="1:7">
      <c r="A13" s="57" t="s">
        <v>68</v>
      </c>
      <c r="B13" s="71" t="s">
        <v>69</v>
      </c>
      <c r="C13" s="72">
        <v>15</v>
      </c>
      <c r="D13" s="57"/>
    </row>
    <row r="14" spans="1:7" ht="18">
      <c r="A14" s="57" t="s">
        <v>70</v>
      </c>
      <c r="B14" s="71" t="s">
        <v>71</v>
      </c>
      <c r="C14" s="72">
        <f>-PMT(C12/100,C13,(C9+C11))</f>
        <v>1965.382667228585</v>
      </c>
      <c r="D14" s="57" t="s">
        <v>72</v>
      </c>
      <c r="E14" s="74"/>
      <c r="G14" s="75"/>
    </row>
    <row r="15" spans="1:7">
      <c r="A15" s="57" t="s">
        <v>73</v>
      </c>
      <c r="B15" s="71" t="s">
        <v>74</v>
      </c>
      <c r="C15" s="72">
        <f>200*(C5/100)</f>
        <v>1652.9399999999998</v>
      </c>
      <c r="D15" s="57" t="s">
        <v>75</v>
      </c>
    </row>
    <row r="16" spans="1:7">
      <c r="A16" s="57" t="s">
        <v>76</v>
      </c>
      <c r="B16" s="71" t="s">
        <v>77</v>
      </c>
      <c r="C16" s="72">
        <f>C5/100*17.2</f>
        <v>142.15284</v>
      </c>
      <c r="D16" s="57" t="s">
        <v>78</v>
      </c>
    </row>
    <row r="17" spans="1:8">
      <c r="A17" s="57" t="s">
        <v>79</v>
      </c>
      <c r="B17" s="71" t="s">
        <v>80</v>
      </c>
      <c r="C17" s="72">
        <f>0.5*365*17.2</f>
        <v>3139</v>
      </c>
      <c r="D17" s="57" t="s">
        <v>81</v>
      </c>
    </row>
    <row r="18" spans="1:8">
      <c r="A18" s="57" t="s">
        <v>82</v>
      </c>
      <c r="B18" s="71" t="s">
        <v>83</v>
      </c>
      <c r="C18" s="72">
        <f>C7*0.8*0.12</f>
        <v>317.36448000000001</v>
      </c>
      <c r="D18" s="57" t="s">
        <v>84</v>
      </c>
    </row>
    <row r="19" spans="1:8">
      <c r="A19" s="57" t="s">
        <v>85</v>
      </c>
      <c r="B19" s="71" t="s">
        <v>86</v>
      </c>
      <c r="C19" s="72">
        <f>C18/0.12</f>
        <v>2644.7040000000002</v>
      </c>
      <c r="D19" s="57" t="s">
        <v>87</v>
      </c>
      <c r="F19" s="76"/>
      <c r="H19" s="77"/>
    </row>
    <row r="20" spans="1:8">
      <c r="A20" s="78" t="s">
        <v>88</v>
      </c>
      <c r="B20" s="79" t="s">
        <v>89</v>
      </c>
      <c r="C20" s="80">
        <f>SUM(C14:C18)</f>
        <v>7216.8399872285845</v>
      </c>
      <c r="D20" s="78" t="s">
        <v>90</v>
      </c>
    </row>
    <row r="21" spans="1:8">
      <c r="A21" s="53" t="s">
        <v>31</v>
      </c>
      <c r="B21" s="53" t="s">
        <v>32</v>
      </c>
      <c r="C21" s="67"/>
      <c r="D21" s="52"/>
      <c r="G21" s="76"/>
    </row>
    <row r="22" spans="1:8">
      <c r="A22" s="64" t="s">
        <v>33</v>
      </c>
      <c r="B22" s="65" t="s">
        <v>34</v>
      </c>
      <c r="C22" s="81">
        <v>150</v>
      </c>
      <c r="D22" s="64" t="s">
        <v>35</v>
      </c>
      <c r="F22" s="76"/>
    </row>
    <row r="23" spans="1:8">
      <c r="A23" s="53" t="s">
        <v>36</v>
      </c>
      <c r="B23" s="53" t="s">
        <v>37</v>
      </c>
      <c r="C23" s="67">
        <v>10</v>
      </c>
      <c r="D23" s="52" t="s">
        <v>38</v>
      </c>
    </row>
    <row r="24" spans="1:8">
      <c r="A24" s="53"/>
      <c r="B24" s="53"/>
      <c r="C24" s="67">
        <f>-PMT(5%/100,C23,C22)</f>
        <v>15.041280929755194</v>
      </c>
      <c r="D24" s="52" t="s">
        <v>41</v>
      </c>
    </row>
    <row r="25" spans="1:8">
      <c r="A25" s="82"/>
      <c r="B25" s="83"/>
      <c r="C25" s="62"/>
      <c r="D25" s="63"/>
      <c r="F25" s="73"/>
    </row>
    <row r="26" spans="1:8">
      <c r="A26" s="94" t="s">
        <v>42</v>
      </c>
      <c r="B26" s="94" t="s">
        <v>43</v>
      </c>
      <c r="C26" s="101">
        <f>C20/C3+C24</f>
        <v>68.499354909226184</v>
      </c>
      <c r="D26" s="96" t="s">
        <v>44</v>
      </c>
      <c r="F26" s="73"/>
    </row>
    <row r="27" spans="1:8">
      <c r="A27" s="94" t="s">
        <v>45</v>
      </c>
      <c r="B27" s="94" t="s">
        <v>46</v>
      </c>
      <c r="C27" s="101">
        <f>C3*C26</f>
        <v>9247.4129127455344</v>
      </c>
      <c r="D27" s="96" t="s">
        <v>47</v>
      </c>
    </row>
    <row r="28" spans="1:8" ht="18">
      <c r="A28" s="94" t="s">
        <v>91</v>
      </c>
      <c r="B28" s="94" t="s">
        <v>92</v>
      </c>
      <c r="C28" s="95">
        <f>C20/C5</f>
        <v>8.7321257725369144</v>
      </c>
      <c r="D28" s="96" t="s">
        <v>93</v>
      </c>
    </row>
    <row r="31" spans="1:8">
      <c r="A31" s="50" t="s">
        <v>94</v>
      </c>
    </row>
    <row r="33" spans="1:3">
      <c r="C33" s="69"/>
    </row>
    <row r="34" spans="1:3">
      <c r="C34" s="69"/>
    </row>
    <row r="35" spans="1:3">
      <c r="C35" s="69"/>
    </row>
    <row r="36" spans="1:3">
      <c r="C36" s="68"/>
    </row>
    <row r="37" spans="1:3">
      <c r="C37" s="69"/>
    </row>
    <row r="38" spans="1:3">
      <c r="A38" s="58"/>
      <c r="C38" s="69"/>
    </row>
    <row r="39" spans="1:3">
      <c r="A39" s="58"/>
    </row>
    <row r="43" spans="1:3">
      <c r="A43" s="8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AED17-7EFE-46B9-A2DA-7DC739124C65}">
  <dimension ref="A1:J43"/>
  <sheetViews>
    <sheetView zoomScaleNormal="100" workbookViewId="0">
      <selection activeCell="A10" sqref="A10"/>
    </sheetView>
  </sheetViews>
  <sheetFormatPr defaultColWidth="9.140625" defaultRowHeight="15.95"/>
  <cols>
    <col min="1" max="1" width="46.7109375" style="50" customWidth="1"/>
    <col min="2" max="2" width="41.42578125" style="50" hidden="1" customWidth="1"/>
    <col min="3" max="3" width="11.5703125" style="50" customWidth="1"/>
    <col min="4" max="4" width="85.7109375" style="50" customWidth="1"/>
    <col min="5" max="5" width="11.140625" style="50" bestFit="1" customWidth="1"/>
    <col min="6" max="16384" width="9.140625" style="50"/>
  </cols>
  <sheetData>
    <row r="1" spans="1:10">
      <c r="C1" s="70"/>
    </row>
    <row r="2" spans="1:10">
      <c r="A2" s="97" t="s">
        <v>95</v>
      </c>
      <c r="B2" s="98" t="s">
        <v>52</v>
      </c>
      <c r="C2" s="99"/>
      <c r="D2" s="100" t="s">
        <v>5</v>
      </c>
    </row>
    <row r="3" spans="1:10">
      <c r="A3" s="52" t="s">
        <v>6</v>
      </c>
      <c r="B3" s="52" t="s">
        <v>53</v>
      </c>
      <c r="C3" s="85">
        <v>135</v>
      </c>
      <c r="D3" s="52"/>
    </row>
    <row r="4" spans="1:10">
      <c r="A4" s="52" t="s">
        <v>8</v>
      </c>
      <c r="B4" s="52" t="s">
        <v>9</v>
      </c>
      <c r="C4" s="85">
        <v>42.4657534246575</v>
      </c>
      <c r="D4" s="52" t="s">
        <v>96</v>
      </c>
    </row>
    <row r="5" spans="1:10" ht="18">
      <c r="A5" s="52" t="s">
        <v>10</v>
      </c>
      <c r="B5" s="52" t="s">
        <v>11</v>
      </c>
      <c r="C5" s="85">
        <f>C3*(C4/1000)*365</f>
        <v>2092.4999999999982</v>
      </c>
      <c r="D5" s="52" t="s">
        <v>12</v>
      </c>
      <c r="I5" s="58"/>
    </row>
    <row r="6" spans="1:10" ht="18">
      <c r="A6" s="52" t="s">
        <v>13</v>
      </c>
      <c r="B6" s="52" t="s">
        <v>14</v>
      </c>
      <c r="C6" s="85">
        <f>0.4*C5</f>
        <v>836.99999999999932</v>
      </c>
      <c r="D6" s="52" t="s">
        <v>97</v>
      </c>
    </row>
    <row r="7" spans="1:10">
      <c r="A7" s="52" t="s">
        <v>54</v>
      </c>
      <c r="B7" s="52" t="s">
        <v>98</v>
      </c>
      <c r="C7" s="85">
        <f>C6/0.1</f>
        <v>8369.9999999999927</v>
      </c>
      <c r="D7" s="52" t="s">
        <v>56</v>
      </c>
      <c r="J7" s="58"/>
    </row>
    <row r="8" spans="1:10">
      <c r="A8" s="57" t="s">
        <v>57</v>
      </c>
      <c r="B8" s="57" t="s">
        <v>58</v>
      </c>
      <c r="C8" s="86">
        <f>30000</f>
        <v>30000</v>
      </c>
      <c r="D8" s="57"/>
    </row>
    <row r="9" spans="1:10">
      <c r="A9" s="57" t="s">
        <v>59</v>
      </c>
      <c r="B9" s="57" t="s">
        <v>60</v>
      </c>
      <c r="C9" s="86">
        <f>C8*0.6</f>
        <v>18000</v>
      </c>
      <c r="D9" s="57" t="s">
        <v>61</v>
      </c>
    </row>
    <row r="10" spans="1:10">
      <c r="A10" s="57" t="s">
        <v>62</v>
      </c>
      <c r="B10" s="57" t="s">
        <v>63</v>
      </c>
      <c r="C10" s="86">
        <v>4000</v>
      </c>
      <c r="D10" s="57"/>
    </row>
    <row r="11" spans="1:10">
      <c r="A11" s="57" t="s">
        <v>64</v>
      </c>
      <c r="B11" s="71" t="s">
        <v>65</v>
      </c>
      <c r="C11" s="72">
        <f>C10*0.6</f>
        <v>2400</v>
      </c>
      <c r="D11" s="57" t="s">
        <v>61</v>
      </c>
    </row>
    <row r="12" spans="1:10">
      <c r="A12" s="57" t="s">
        <v>66</v>
      </c>
      <c r="B12" s="57" t="s">
        <v>67</v>
      </c>
      <c r="C12" s="86">
        <v>5</v>
      </c>
      <c r="D12" s="57"/>
    </row>
    <row r="13" spans="1:10">
      <c r="A13" s="57" t="s">
        <v>68</v>
      </c>
      <c r="B13" s="57" t="s">
        <v>99</v>
      </c>
      <c r="C13" s="86">
        <v>15</v>
      </c>
      <c r="D13" s="57"/>
    </row>
    <row r="14" spans="1:10" ht="18">
      <c r="A14" s="57" t="s">
        <v>70</v>
      </c>
      <c r="B14" s="57" t="s">
        <v>100</v>
      </c>
      <c r="C14" s="86">
        <f>-PMT(C12/100,C13,(C9+C11))</f>
        <v>1965.382667228585</v>
      </c>
      <c r="D14" s="57" t="s">
        <v>72</v>
      </c>
      <c r="E14" s="74"/>
    </row>
    <row r="15" spans="1:10">
      <c r="A15" s="57" t="s">
        <v>73</v>
      </c>
      <c r="B15" s="57" t="s">
        <v>101</v>
      </c>
      <c r="C15" s="86">
        <f>200*(C5/100)</f>
        <v>4184.9999999999964</v>
      </c>
      <c r="D15" s="57" t="s">
        <v>75</v>
      </c>
    </row>
    <row r="16" spans="1:10">
      <c r="A16" s="57" t="s">
        <v>76</v>
      </c>
      <c r="B16" s="57" t="s">
        <v>77</v>
      </c>
      <c r="C16" s="86">
        <f>C5/100*17.2</f>
        <v>359.90999999999968</v>
      </c>
      <c r="D16" s="57" t="s">
        <v>102</v>
      </c>
    </row>
    <row r="17" spans="1:6">
      <c r="A17" s="57" t="s">
        <v>79</v>
      </c>
      <c r="B17" s="57" t="s">
        <v>80</v>
      </c>
      <c r="C17" s="86">
        <f>0.5*365*17.2</f>
        <v>3139</v>
      </c>
      <c r="D17" s="57" t="s">
        <v>81</v>
      </c>
    </row>
    <row r="18" spans="1:6">
      <c r="A18" s="57" t="s">
        <v>82</v>
      </c>
      <c r="B18" s="57" t="s">
        <v>103</v>
      </c>
      <c r="C18" s="86">
        <f>C7*0.8*0.12</f>
        <v>803.5199999999993</v>
      </c>
      <c r="D18" s="57" t="s">
        <v>84</v>
      </c>
      <c r="F18" s="87"/>
    </row>
    <row r="19" spans="1:6">
      <c r="A19" s="57"/>
      <c r="B19" s="57" t="s">
        <v>86</v>
      </c>
      <c r="C19" s="86">
        <f>C18/0.12</f>
        <v>6695.9999999999945</v>
      </c>
      <c r="D19" s="57"/>
      <c r="F19" s="87"/>
    </row>
    <row r="20" spans="1:6">
      <c r="A20" s="78" t="s">
        <v>88</v>
      </c>
      <c r="B20" s="78" t="s">
        <v>104</v>
      </c>
      <c r="C20" s="88">
        <f>SUM(C14:C18)</f>
        <v>10452.81266722858</v>
      </c>
      <c r="D20" s="78" t="s">
        <v>90</v>
      </c>
    </row>
    <row r="21" spans="1:6">
      <c r="A21" s="82"/>
      <c r="B21" s="83"/>
      <c r="C21" s="89"/>
      <c r="D21" s="90"/>
    </row>
    <row r="22" spans="1:6">
      <c r="A22" s="53" t="s">
        <v>31</v>
      </c>
      <c r="B22" s="53" t="s">
        <v>32</v>
      </c>
      <c r="C22" s="67">
        <v>20</v>
      </c>
      <c r="D22" s="52" t="s">
        <v>35</v>
      </c>
    </row>
    <row r="23" spans="1:6">
      <c r="A23" s="53" t="s">
        <v>36</v>
      </c>
      <c r="B23" s="53" t="s">
        <v>37</v>
      </c>
      <c r="C23" s="67">
        <v>15</v>
      </c>
      <c r="D23" s="52" t="s">
        <v>38</v>
      </c>
      <c r="F23" s="87"/>
    </row>
    <row r="24" spans="1:6">
      <c r="A24" s="53"/>
      <c r="B24" s="53"/>
      <c r="C24" s="67">
        <f>-PMT(5%/100,C23,C22)</f>
        <v>1.3386728873279969</v>
      </c>
      <c r="D24" s="52" t="s">
        <v>41</v>
      </c>
    </row>
    <row r="25" spans="1:6">
      <c r="A25" s="82"/>
      <c r="B25" s="83"/>
      <c r="C25" s="62"/>
      <c r="D25" s="63"/>
    </row>
    <row r="26" spans="1:6">
      <c r="A26" s="94" t="s">
        <v>105</v>
      </c>
      <c r="B26" s="94" t="s">
        <v>43</v>
      </c>
      <c r="C26" s="101">
        <f>C20/C3+C24</f>
        <v>78.76691486679897</v>
      </c>
      <c r="D26" s="96" t="s">
        <v>44</v>
      </c>
    </row>
    <row r="27" spans="1:6">
      <c r="A27" s="94" t="s">
        <v>106</v>
      </c>
      <c r="B27" s="94" t="s">
        <v>46</v>
      </c>
      <c r="C27" s="101">
        <f>C3*C26</f>
        <v>10633.533507017861</v>
      </c>
      <c r="D27" s="96" t="s">
        <v>47</v>
      </c>
    </row>
    <row r="28" spans="1:6" ht="18">
      <c r="A28" s="94" t="s">
        <v>91</v>
      </c>
      <c r="B28" s="94" t="s">
        <v>92</v>
      </c>
      <c r="C28" s="95">
        <f>C20/C5</f>
        <v>4.9953704502884531</v>
      </c>
      <c r="D28" s="96" t="s">
        <v>93</v>
      </c>
    </row>
    <row r="31" spans="1:6">
      <c r="A31" s="50" t="s">
        <v>94</v>
      </c>
    </row>
    <row r="33" spans="1:5">
      <c r="C33" s="69"/>
      <c r="E33" s="87"/>
    </row>
    <row r="34" spans="1:5">
      <c r="C34" s="69"/>
    </row>
    <row r="35" spans="1:5">
      <c r="C35" s="69"/>
    </row>
    <row r="36" spans="1:5">
      <c r="C36" s="68"/>
    </row>
    <row r="37" spans="1:5">
      <c r="C37" s="69"/>
    </row>
    <row r="38" spans="1:5">
      <c r="A38" s="58"/>
      <c r="C38" s="69"/>
    </row>
    <row r="39" spans="1:5">
      <c r="A39" s="58"/>
    </row>
    <row r="43" spans="1:5">
      <c r="A43" s="84"/>
    </row>
  </sheetData>
  <phoneticPr fontId="1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B4E37-3797-4C17-9B26-1BFF9E21C16A}">
  <dimension ref="A2:F39"/>
  <sheetViews>
    <sheetView zoomScaleNormal="100" workbookViewId="0">
      <selection activeCell="D12" sqref="D12"/>
    </sheetView>
  </sheetViews>
  <sheetFormatPr defaultColWidth="9.140625" defaultRowHeight="15.95"/>
  <cols>
    <col min="1" max="1" width="58" style="50" customWidth="1"/>
    <col min="2" max="2" width="48.5703125" style="50" hidden="1" customWidth="1"/>
    <col min="3" max="3" width="14.7109375" style="50" customWidth="1"/>
    <col min="4" max="4" width="125.7109375" style="50" customWidth="1"/>
    <col min="5" max="16384" width="9.140625" style="50"/>
  </cols>
  <sheetData>
    <row r="2" spans="1:6">
      <c r="A2" s="97" t="s">
        <v>107</v>
      </c>
      <c r="B2" s="98"/>
      <c r="C2" s="99"/>
      <c r="D2" s="100" t="s">
        <v>5</v>
      </c>
    </row>
    <row r="3" spans="1:6">
      <c r="A3" s="52" t="s">
        <v>6</v>
      </c>
      <c r="B3" s="53" t="s">
        <v>53</v>
      </c>
      <c r="C3" s="54">
        <v>135</v>
      </c>
      <c r="D3" s="55"/>
    </row>
    <row r="4" spans="1:6" ht="18">
      <c r="A4" s="52" t="s">
        <v>108</v>
      </c>
      <c r="B4" s="53" t="s">
        <v>109</v>
      </c>
      <c r="C4" s="54">
        <f>C6/1.5</f>
        <v>591.30000000000007</v>
      </c>
      <c r="D4" s="55" t="s">
        <v>110</v>
      </c>
      <c r="F4" s="58"/>
    </row>
    <row r="5" spans="1:6">
      <c r="A5" s="52" t="s">
        <v>111</v>
      </c>
      <c r="B5" s="53" t="s">
        <v>112</v>
      </c>
      <c r="C5" s="85">
        <v>18</v>
      </c>
      <c r="D5" s="55" t="s">
        <v>113</v>
      </c>
      <c r="E5" s="87"/>
      <c r="F5" s="87"/>
    </row>
    <row r="6" spans="1:6">
      <c r="A6" s="52" t="s">
        <v>114</v>
      </c>
      <c r="B6" s="53" t="s">
        <v>115</v>
      </c>
      <c r="C6" s="54">
        <f>C3*C5/1000*365</f>
        <v>886.95</v>
      </c>
      <c r="D6" s="55" t="s">
        <v>116</v>
      </c>
    </row>
    <row r="7" spans="1:6">
      <c r="A7" s="52" t="s">
        <v>117</v>
      </c>
      <c r="B7" s="53" t="s">
        <v>118</v>
      </c>
      <c r="C7" s="59">
        <f>C8/1.5</f>
        <v>4.666666666666667</v>
      </c>
      <c r="D7" s="55" t="s">
        <v>119</v>
      </c>
    </row>
    <row r="8" spans="1:6">
      <c r="A8" s="52" t="s">
        <v>120</v>
      </c>
      <c r="B8" s="53" t="s">
        <v>121</v>
      </c>
      <c r="C8" s="59">
        <v>7</v>
      </c>
      <c r="D8" s="55" t="s">
        <v>122</v>
      </c>
    </row>
    <row r="9" spans="1:6">
      <c r="A9" s="52" t="s">
        <v>123</v>
      </c>
      <c r="B9" s="53"/>
      <c r="C9" s="59">
        <f>40*2.5/48</f>
        <v>2.0833333333333335</v>
      </c>
      <c r="D9" s="55" t="s">
        <v>124</v>
      </c>
    </row>
    <row r="10" spans="1:6">
      <c r="A10" s="52" t="s">
        <v>125</v>
      </c>
      <c r="B10" s="53" t="s">
        <v>126</v>
      </c>
      <c r="C10" s="59">
        <f>C11/C3</f>
        <v>59.677500000000002</v>
      </c>
      <c r="D10" s="55" t="s">
        <v>41</v>
      </c>
    </row>
    <row r="11" spans="1:6">
      <c r="A11" s="52" t="s">
        <v>127</v>
      </c>
      <c r="B11" s="53" t="s">
        <v>128</v>
      </c>
      <c r="C11" s="54">
        <f>C6*(C8+C9)</f>
        <v>8056.4625000000005</v>
      </c>
      <c r="D11" s="55" t="s">
        <v>129</v>
      </c>
    </row>
    <row r="12" spans="1:6">
      <c r="A12" s="52"/>
      <c r="B12" s="53"/>
      <c r="C12" s="54"/>
      <c r="D12" s="55"/>
    </row>
    <row r="13" spans="1:6">
      <c r="A13" s="52" t="s">
        <v>130</v>
      </c>
      <c r="B13" s="52" t="s">
        <v>131</v>
      </c>
      <c r="C13" s="91">
        <v>250</v>
      </c>
      <c r="D13" s="55" t="s">
        <v>132</v>
      </c>
    </row>
    <row r="14" spans="1:6">
      <c r="A14" s="52" t="s">
        <v>133</v>
      </c>
      <c r="B14" s="52" t="s">
        <v>134</v>
      </c>
      <c r="C14" s="91">
        <v>1600</v>
      </c>
      <c r="D14" s="55" t="s">
        <v>135</v>
      </c>
    </row>
    <row r="15" spans="1:6">
      <c r="A15" s="52" t="s">
        <v>136</v>
      </c>
      <c r="B15" s="52" t="s">
        <v>137</v>
      </c>
      <c r="C15" s="91">
        <v>300</v>
      </c>
      <c r="D15" s="55"/>
    </row>
    <row r="16" spans="1:6">
      <c r="A16" s="52"/>
      <c r="B16" s="52"/>
      <c r="C16" s="91">
        <f>(C13+C14+C15)/C3</f>
        <v>15.925925925925926</v>
      </c>
      <c r="D16" s="55" t="s">
        <v>41</v>
      </c>
    </row>
    <row r="17" spans="1:4">
      <c r="A17" s="52"/>
      <c r="C17" s="91"/>
      <c r="D17" s="55"/>
    </row>
    <row r="18" spans="1:4">
      <c r="A18" s="52" t="s">
        <v>138</v>
      </c>
      <c r="B18" s="52" t="s">
        <v>139</v>
      </c>
      <c r="C18" s="91">
        <v>12</v>
      </c>
      <c r="D18" s="55" t="s">
        <v>140</v>
      </c>
    </row>
    <row r="19" spans="1:4">
      <c r="A19" s="52" t="s">
        <v>141</v>
      </c>
      <c r="B19" s="52" t="s">
        <v>142</v>
      </c>
      <c r="C19" s="91">
        <v>1200</v>
      </c>
      <c r="D19" s="55" t="s">
        <v>143</v>
      </c>
    </row>
    <row r="20" spans="1:4">
      <c r="A20" s="52"/>
      <c r="B20" s="52"/>
      <c r="C20" s="91">
        <f>C18+(C19/C3)</f>
        <v>20.888888888888889</v>
      </c>
      <c r="D20" s="55" t="s">
        <v>41</v>
      </c>
    </row>
    <row r="21" spans="1:4">
      <c r="A21" s="52"/>
      <c r="B21" s="52"/>
      <c r="C21" s="91"/>
      <c r="D21" s="55"/>
    </row>
    <row r="22" spans="1:4">
      <c r="A22" s="52" t="s">
        <v>144</v>
      </c>
      <c r="B22" s="52"/>
      <c r="C22" s="91">
        <f>540*30</f>
        <v>16200</v>
      </c>
      <c r="D22" s="55" t="s">
        <v>145</v>
      </c>
    </row>
    <row r="23" spans="1:4">
      <c r="A23" s="57" t="s">
        <v>146</v>
      </c>
      <c r="B23" s="52"/>
      <c r="C23" s="91">
        <f>C22*0.6</f>
        <v>9720</v>
      </c>
      <c r="D23" s="55" t="s">
        <v>147</v>
      </c>
    </row>
    <row r="24" spans="1:4">
      <c r="A24" s="52" t="s">
        <v>148</v>
      </c>
      <c r="B24" s="52"/>
      <c r="C24" s="91">
        <f>C23/C3</f>
        <v>72</v>
      </c>
      <c r="D24" s="55"/>
    </row>
    <row r="25" spans="1:4">
      <c r="A25" s="52" t="s">
        <v>149</v>
      </c>
      <c r="B25" s="52" t="s">
        <v>32</v>
      </c>
      <c r="C25" s="91">
        <v>20</v>
      </c>
      <c r="D25" s="55" t="s">
        <v>35</v>
      </c>
    </row>
    <row r="26" spans="1:4">
      <c r="A26" s="52" t="s">
        <v>36</v>
      </c>
      <c r="B26" s="52" t="s">
        <v>37</v>
      </c>
      <c r="C26" s="91">
        <v>15</v>
      </c>
      <c r="D26" s="55" t="s">
        <v>38</v>
      </c>
    </row>
    <row r="27" spans="1:4">
      <c r="A27" s="52"/>
      <c r="B27" s="52"/>
      <c r="C27" s="91">
        <f>-PMT(5%/100,Hiekkaparsi!C26,(C24+C25))</f>
        <v>6.1578952817087869</v>
      </c>
      <c r="D27" s="55" t="s">
        <v>41</v>
      </c>
    </row>
    <row r="28" spans="1:4">
      <c r="A28" s="92"/>
      <c r="D28" s="93"/>
    </row>
    <row r="29" spans="1:4">
      <c r="A29" s="94" t="s">
        <v>150</v>
      </c>
      <c r="B29" s="94" t="s">
        <v>43</v>
      </c>
      <c r="C29" s="95">
        <f>C10+C16+C20+C27</f>
        <v>102.65021009652361</v>
      </c>
      <c r="D29" s="96" t="s">
        <v>151</v>
      </c>
    </row>
    <row r="30" spans="1:4">
      <c r="A30" s="94" t="s">
        <v>106</v>
      </c>
      <c r="B30" s="94" t="s">
        <v>46</v>
      </c>
      <c r="C30" s="95">
        <f>C29*C3</f>
        <v>13857.778363030688</v>
      </c>
      <c r="D30" s="96" t="s">
        <v>47</v>
      </c>
    </row>
    <row r="31" spans="1:4">
      <c r="A31" s="94" t="s">
        <v>152</v>
      </c>
      <c r="B31" s="94" t="s">
        <v>49</v>
      </c>
      <c r="C31" s="95">
        <f>C30/C4</f>
        <v>23.436121026603562</v>
      </c>
      <c r="D31" s="96" t="s">
        <v>50</v>
      </c>
    </row>
    <row r="34" spans="1:3">
      <c r="C34" s="69"/>
    </row>
    <row r="35" spans="1:3">
      <c r="C35" s="69"/>
    </row>
    <row r="36" spans="1:3">
      <c r="C36" s="69"/>
    </row>
    <row r="37" spans="1:3">
      <c r="C37" s="68"/>
    </row>
    <row r="38" spans="1:3">
      <c r="C38" s="69"/>
    </row>
    <row r="39" spans="1:3">
      <c r="A39" s="58"/>
      <c r="C39" s="69"/>
    </row>
  </sheetData>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ul11"/>
  <dimension ref="A1:W66"/>
  <sheetViews>
    <sheetView topLeftCell="D12" zoomScaleNormal="100" workbookViewId="0">
      <selection activeCell="M23" sqref="M23"/>
    </sheetView>
  </sheetViews>
  <sheetFormatPr defaultColWidth="9.140625" defaultRowHeight="12.6"/>
  <cols>
    <col min="1" max="1" width="13.42578125" style="3" customWidth="1"/>
    <col min="2" max="3" width="15.85546875" style="3" customWidth="1"/>
    <col min="4" max="4" width="15.85546875" style="5" customWidth="1"/>
    <col min="5" max="9" width="15.85546875" style="3" customWidth="1"/>
    <col min="10" max="10" width="21.5703125" style="3" customWidth="1"/>
    <col min="11" max="11" width="9.140625" style="3"/>
    <col min="12" max="12" width="14.42578125" style="3" customWidth="1"/>
    <col min="13" max="16384" width="9.140625" style="3"/>
  </cols>
  <sheetData>
    <row r="1" spans="1:14" ht="18.600000000000001">
      <c r="A1" s="15" t="s">
        <v>153</v>
      </c>
    </row>
    <row r="2" spans="1:14" ht="18.600000000000001">
      <c r="A2" s="15"/>
    </row>
    <row r="3" spans="1:14" s="17" customFormat="1" ht="15.6">
      <c r="A3" s="16" t="s">
        <v>154</v>
      </c>
      <c r="D3" s="18"/>
    </row>
    <row r="4" spans="1:14" s="17" customFormat="1" ht="15.6">
      <c r="A4" s="16"/>
      <c r="D4" s="18"/>
    </row>
    <row r="5" spans="1:14" s="17" customFormat="1" ht="15.6">
      <c r="B5" s="17" t="s">
        <v>155</v>
      </c>
      <c r="C5" s="17">
        <v>24</v>
      </c>
      <c r="D5" s="18"/>
      <c r="E5" s="34" t="s">
        <v>156</v>
      </c>
      <c r="F5" s="34" t="s">
        <v>157</v>
      </c>
      <c r="G5" s="34" t="s">
        <v>158</v>
      </c>
      <c r="I5" s="19"/>
    </row>
    <row r="6" spans="1:14" s="17" customFormat="1" ht="15.6">
      <c r="C6" s="17">
        <v>26</v>
      </c>
      <c r="D6" s="20"/>
      <c r="E6" s="17" t="s">
        <v>159</v>
      </c>
      <c r="F6" s="17" t="s">
        <v>159</v>
      </c>
      <c r="G6" s="17" t="s">
        <v>159</v>
      </c>
      <c r="I6" s="17" t="s">
        <v>160</v>
      </c>
      <c r="K6" s="19"/>
      <c r="L6" s="21">
        <f>64.7608650317362*0.1</f>
        <v>6.4760865031736206</v>
      </c>
    </row>
    <row r="7" spans="1:14" s="17" customFormat="1" ht="15.6">
      <c r="C7" s="17">
        <v>28</v>
      </c>
      <c r="D7" s="20"/>
      <c r="E7" s="17" t="e">
        <f>#REF!</f>
        <v>#REF!</v>
      </c>
      <c r="F7" s="23" t="e">
        <f>#REF!</f>
        <v>#REF!</v>
      </c>
      <c r="G7" s="23" t="e">
        <f>#REF!</f>
        <v>#REF!</v>
      </c>
      <c r="J7" s="16" t="s">
        <v>161</v>
      </c>
      <c r="K7" s="19"/>
      <c r="L7" s="22">
        <f>64%*L6</f>
        <v>4.1446953620311175</v>
      </c>
    </row>
    <row r="8" spans="1:14" s="17" customFormat="1" ht="15.6">
      <c r="C8" s="17">
        <v>30</v>
      </c>
      <c r="D8" s="20"/>
      <c r="E8" s="17" t="s">
        <v>162</v>
      </c>
      <c r="F8" s="17" t="s">
        <v>162</v>
      </c>
      <c r="G8" s="17" t="s">
        <v>162</v>
      </c>
      <c r="J8" s="16" t="s">
        <v>163</v>
      </c>
      <c r="L8" s="22">
        <f>35%*L6</f>
        <v>2.2666302761107668</v>
      </c>
    </row>
    <row r="9" spans="1:14" s="17" customFormat="1" ht="15.6">
      <c r="C9" s="17">
        <v>32</v>
      </c>
      <c r="D9" s="18"/>
      <c r="E9" s="23" t="e">
        <f>((#REF!-#REF!)/#REF!)*365</f>
        <v>#REF!</v>
      </c>
      <c r="F9" s="23" t="e">
        <f>((#REF!-#REF!)/#REF!)*365</f>
        <v>#REF!</v>
      </c>
      <c r="G9" s="23" t="e">
        <f>((#REF!-#REF!)/#REF!)*365</f>
        <v>#REF!</v>
      </c>
      <c r="J9" s="24" t="s">
        <v>164</v>
      </c>
      <c r="K9" s="25"/>
      <c r="L9" s="22">
        <f>1%*L6</f>
        <v>6.4760865031736212E-2</v>
      </c>
      <c r="M9" s="22"/>
    </row>
    <row r="10" spans="1:14" s="17" customFormat="1" ht="15.6">
      <c r="C10" s="17">
        <v>34</v>
      </c>
      <c r="D10" s="18"/>
      <c r="E10" s="17" t="s">
        <v>165</v>
      </c>
      <c r="F10" s="17" t="s">
        <v>165</v>
      </c>
      <c r="G10" s="17" t="s">
        <v>165</v>
      </c>
      <c r="N10" s="13"/>
    </row>
    <row r="11" spans="1:14" s="17" customFormat="1" ht="15.6">
      <c r="C11" s="17">
        <v>36</v>
      </c>
      <c r="D11" s="18"/>
      <c r="E11" s="17">
        <v>365</v>
      </c>
      <c r="F11" s="17">
        <v>365</v>
      </c>
      <c r="G11" s="17">
        <v>365</v>
      </c>
      <c r="I11" s="17" t="s">
        <v>166</v>
      </c>
      <c r="L11" s="23">
        <f>1945*0.1</f>
        <v>194.5</v>
      </c>
      <c r="N11" s="17" t="s">
        <v>167</v>
      </c>
    </row>
    <row r="12" spans="1:14" s="17" customFormat="1" ht="15.6">
      <c r="C12" s="17">
        <v>38</v>
      </c>
      <c r="D12" s="18"/>
      <c r="J12" s="16" t="s">
        <v>161</v>
      </c>
      <c r="L12" s="23">
        <f>64%*L11</f>
        <v>124.48</v>
      </c>
    </row>
    <row r="13" spans="1:14" s="17" customFormat="1" ht="15.6">
      <c r="C13" s="17">
        <v>40</v>
      </c>
      <c r="J13" s="16" t="s">
        <v>163</v>
      </c>
      <c r="L13" s="23">
        <f>35%*L11</f>
        <v>68.074999999999989</v>
      </c>
      <c r="M13" s="25"/>
      <c r="N13" s="25"/>
    </row>
    <row r="14" spans="1:14" s="17" customFormat="1" ht="15.6">
      <c r="I14" s="25"/>
      <c r="J14" s="24" t="s">
        <v>164</v>
      </c>
      <c r="K14" s="25"/>
      <c r="L14" s="20">
        <f>1%*L11</f>
        <v>1.9450000000000001</v>
      </c>
      <c r="M14" s="25"/>
      <c r="N14" s="25"/>
    </row>
    <row r="15" spans="1:14" s="17" customFormat="1" ht="15.6">
      <c r="C15" s="17" t="s">
        <v>168</v>
      </c>
      <c r="D15" s="18"/>
      <c r="G15" s="17" t="s">
        <v>168</v>
      </c>
      <c r="K15" s="17" t="s">
        <v>168</v>
      </c>
      <c r="N15" s="23"/>
    </row>
    <row r="16" spans="1:14" s="17" customFormat="1" ht="15.6">
      <c r="B16" s="43" t="s">
        <v>156</v>
      </c>
      <c r="C16" s="36" t="e">
        <f>IF(#REF!&lt;=24,24,IF(#REF!&gt;24,IF(#REF!&lt;=25,25,IF(#REF!&gt;25,IF(#REF!&lt;=26,26,IF(#REF!&gt;26,IF(#REF!&lt;=27,27,IF(#REF!&gt;27,IF(#REF!&lt;=28,28,IF(#REF!&gt;28,IF(#REF!&lt;=29,29,IF(#REF!&gt;29,IF(#REF!&lt;=30,30,IF(#REF!&gt;30,IF(#REF!&lt;=31,31,IF(#REF!&gt;31,IF(#REF!&lt;=32,32,IF(#REF!&gt;32,IF(#REF!&lt;=33,33,IF(#REF!&gt;33,IF(#REF!&lt;=34,34,IF(#REF!&gt;34,IF(#REF!&lt;=35,35,IF(#REF!&gt;35,IF(#REF!&lt;=36,36,IF(#REF!&gt;36,IF(#REF!&lt;=37,37,IF(#REF!&gt;37,IF(#REF!&lt;=38,38,IF(#REF!&gt;38,IF(#REF!&lt;=39,39,40)))))))))))))))))))))))))))))))</f>
        <v>#REF!</v>
      </c>
      <c r="D16" s="17" t="s">
        <v>169</v>
      </c>
      <c r="F16" s="43" t="s">
        <v>157</v>
      </c>
      <c r="G16" s="36" t="e">
        <f>IF(#REF!&lt;=24,24,IF(#REF!&gt;24,IF(#REF!&lt;=25,25,IF(#REF!&gt;25,IF(#REF!&lt;=26,26,IF(#REF!&gt;26,IF(#REF!&lt;=27,27,IF(#REF!&gt;27,IF(#REF!&lt;=28,28,IF(#REF!&gt;28,IF(#REF!&lt;=29,29,IF(#REF!&gt;29,IF(#REF!&lt;=30,30,IF(#REF!&gt;30,IF(#REF!&lt;=31,31,IF(#REF!&gt;31,IF(#REF!&lt;=32,32,IF(#REF!&gt;32,IF(#REF!&lt;=33,33,IF(#REF!&gt;33,IF(#REF!&lt;=34,34,IF(#REF!&gt;34,IF(#REF!&lt;=35,35,IF(#REF!&gt;35,IF(#REF!&lt;=36,36,IF(#REF!&gt;36,IF(#REF!&lt;=37,37,IF(#REF!&gt;37,IF(#REF!&lt;=38,38,IF(#REF!&gt;38,IF(#REF!&lt;=39,39,40)))))))))))))))))))))))))))))))</f>
        <v>#REF!</v>
      </c>
      <c r="H16" s="17" t="s">
        <v>169</v>
      </c>
      <c r="J16" s="43" t="s">
        <v>158</v>
      </c>
      <c r="K16" s="36" t="e">
        <f>IF(#REF!&lt;=24,24,IF(#REF!&gt;24,IF(#REF!&lt;=25,25,IF(#REF!&gt;25,IF(#REF!&lt;=26,26,IF(#REF!&gt;26,IF(#REF!&lt;=27,27,IF(#REF!&gt;27,IF(#REF!&lt;=28,28,IF(#REF!&gt;28,IF(#REF!&lt;=29,29,IF(#REF!&gt;29,IF(#REF!&lt;=30,30,IF(#REF!&gt;30,IF(#REF!&lt;=31,31,IF(#REF!&gt;31,IF(#REF!&lt;=32,32,IF(#REF!&gt;32,IF(#REF!&lt;=33,33,IF(#REF!&gt;33,IF(#REF!&lt;=34,34,IF(#REF!&gt;34,IF(#REF!&lt;=35,35,IF(#REF!&gt;35,IF(#REF!&lt;=36,36,IF(#REF!&gt;36,IF(#REF!&lt;=37,37,IF(#REF!&gt;37,IF(#REF!&lt;=38,38,IF(#REF!&gt;38,IF(#REF!&lt;=39,39,40)))))))))))))))))))))))))))))))</f>
        <v>#REF!</v>
      </c>
      <c r="L16" s="17" t="s">
        <v>169</v>
      </c>
      <c r="N16" s="23"/>
    </row>
    <row r="17" spans="2:23" s="17" customFormat="1" ht="15.6">
      <c r="D17" s="18"/>
      <c r="H17" s="18"/>
      <c r="L17" s="18"/>
      <c r="N17" s="23"/>
    </row>
    <row r="18" spans="2:23" s="17" customFormat="1" ht="15.6">
      <c r="B18" s="17" t="s">
        <v>170</v>
      </c>
      <c r="C18" s="26"/>
      <c r="D18" s="27" t="e">
        <f>LOOKUP($C$16,C25:C41,D25:D41)</f>
        <v>#REF!</v>
      </c>
      <c r="E18" s="23" t="e">
        <f>(D18*$E$9)+(L7*(E11-E9))+(L12/E7)*365*1.05</f>
        <v>#REF!</v>
      </c>
      <c r="F18" s="17" t="s">
        <v>170</v>
      </c>
      <c r="G18" s="26"/>
      <c r="H18" s="27" t="e">
        <f>LOOKUP($G$16,C25:C41,D25:D41)</f>
        <v>#REF!</v>
      </c>
      <c r="I18" s="23" t="e">
        <f>(H18*$F$9)+(L7*(F11-F9))+(L12/F7)*365*1.05</f>
        <v>#REF!</v>
      </c>
      <c r="J18" s="17" t="s">
        <v>170</v>
      </c>
      <c r="K18" s="26"/>
      <c r="L18" s="27" t="e">
        <f>LOOKUP($K$16,C25:C41,D25:D41)</f>
        <v>#REF!</v>
      </c>
      <c r="M18" s="23" t="e">
        <f>(H18*$G$9)+(L7*(G11-G9))+(L12/G7)*365*1.05</f>
        <v>#REF!</v>
      </c>
      <c r="N18" s="23"/>
    </row>
    <row r="19" spans="2:23" s="17" customFormat="1" ht="15.6">
      <c r="B19" s="17" t="s">
        <v>171</v>
      </c>
      <c r="C19" s="26"/>
      <c r="D19" s="27" t="e">
        <f>LOOKUP($C$16,C44:C60,D44:D60)</f>
        <v>#REF!</v>
      </c>
      <c r="E19" s="23" t="e">
        <f>(D19*$E$9)+(L8*(E11-E9))+(L13/E7)*365</f>
        <v>#REF!</v>
      </c>
      <c r="F19" s="17" t="s">
        <v>171</v>
      </c>
      <c r="G19" s="26"/>
      <c r="H19" s="27" t="e">
        <f>LOOKUP($G$16,C44:C60,D44:D60)</f>
        <v>#REF!</v>
      </c>
      <c r="I19" s="23" t="e">
        <f>(H19*$F$9)+(L8*(F11-F9))+(L13/F7)*365</f>
        <v>#REF!</v>
      </c>
      <c r="J19" s="17" t="s">
        <v>171</v>
      </c>
      <c r="K19" s="26"/>
      <c r="L19" s="27" t="e">
        <f>LOOKUP($K$16,C44:C60,D44:D60)</f>
        <v>#REF!</v>
      </c>
      <c r="M19" s="23" t="e">
        <f>(H19*$G$9)+(L8*(G11-G9))+(L13/G7)*365</f>
        <v>#REF!</v>
      </c>
      <c r="N19" s="23"/>
    </row>
    <row r="20" spans="2:23" s="17" customFormat="1" ht="15.6">
      <c r="B20" s="17" t="s">
        <v>172</v>
      </c>
      <c r="C20" s="26"/>
      <c r="D20" s="27" t="e">
        <f>LOOKUP($C$16,G25:G41,H25:H41)</f>
        <v>#REF!</v>
      </c>
      <c r="E20" s="23" t="e">
        <f>D20*$E$9</f>
        <v>#REF!</v>
      </c>
      <c r="F20" s="17" t="s">
        <v>172</v>
      </c>
      <c r="G20" s="26"/>
      <c r="H20" s="27" t="e">
        <f>LOOKUP($G$16,G25:G41,H25:H41)</f>
        <v>#REF!</v>
      </c>
      <c r="I20" s="23" t="e">
        <f>H20*$F$9</f>
        <v>#REF!</v>
      </c>
      <c r="J20" s="17" t="s">
        <v>172</v>
      </c>
      <c r="K20" s="26"/>
      <c r="L20" s="27" t="e">
        <f>LOOKUP($K$16,G25:G41,H25:H41)</f>
        <v>#REF!</v>
      </c>
      <c r="M20" s="23" t="e">
        <f>L20*$G$9</f>
        <v>#REF!</v>
      </c>
      <c r="N20" s="23"/>
    </row>
    <row r="21" spans="2:23" s="17" customFormat="1" ht="15.6">
      <c r="B21" s="17" t="s">
        <v>173</v>
      </c>
      <c r="C21" s="26"/>
      <c r="D21" s="27" t="e">
        <f>LOOKUP($C$16,G44:G60,H44:H60)</f>
        <v>#REF!</v>
      </c>
      <c r="E21" s="23" t="e">
        <f>(D21*$E$9)+(L9*(E11-E9))+(L14/E7)*365</f>
        <v>#REF!</v>
      </c>
      <c r="F21" s="17" t="s">
        <v>173</v>
      </c>
      <c r="G21" s="26"/>
      <c r="H21" s="27" t="e">
        <f>LOOKUP($G$16,G44:G60,H44:H60)</f>
        <v>#REF!</v>
      </c>
      <c r="I21" s="23" t="e">
        <f>(H21*$F$9)+(L9*(F11-F9))+(L14/F7)*365</f>
        <v>#REF!</v>
      </c>
      <c r="J21" s="17" t="s">
        <v>173</v>
      </c>
      <c r="K21" s="26"/>
      <c r="L21" s="27" t="e">
        <f>LOOKUP($K$16,G44:G60,H44:H60)</f>
        <v>#REF!</v>
      </c>
      <c r="M21" s="23" t="e">
        <f>(H21*$G$9)+(L9*(G11-G9))+(L14/G7)*365</f>
        <v>#REF!</v>
      </c>
    </row>
    <row r="22" spans="2:23" s="17" customFormat="1" ht="15.6">
      <c r="C22" s="26"/>
      <c r="D22" s="27"/>
      <c r="E22" s="23" t="e">
        <f>E18+E19+E20+E21</f>
        <v>#REF!</v>
      </c>
      <c r="G22" s="26"/>
      <c r="H22" s="27"/>
      <c r="I22" s="23" t="e">
        <f>I18+I19+I20+I21</f>
        <v>#REF!</v>
      </c>
      <c r="K22" s="26"/>
      <c r="L22" s="27"/>
      <c r="M22" s="23" t="e">
        <f>M18+M19+M20+M21</f>
        <v>#REF!</v>
      </c>
    </row>
    <row r="23" spans="2:23" s="17" customFormat="1" ht="15.6">
      <c r="D23" s="18"/>
    </row>
    <row r="24" spans="2:23" s="17" customFormat="1" ht="15.6">
      <c r="B24" s="17" t="s">
        <v>170</v>
      </c>
      <c r="C24" s="17" t="s">
        <v>168</v>
      </c>
      <c r="D24" s="28" t="s">
        <v>174</v>
      </c>
      <c r="F24" s="17" t="s">
        <v>172</v>
      </c>
      <c r="G24" s="17" t="s">
        <v>168</v>
      </c>
      <c r="H24" s="28" t="s">
        <v>174</v>
      </c>
    </row>
    <row r="25" spans="2:23" s="17" customFormat="1" ht="15.6">
      <c r="C25" s="35">
        <v>24</v>
      </c>
      <c r="D25" s="46">
        <v>11.457748780993402</v>
      </c>
      <c r="G25" s="35">
        <v>24</v>
      </c>
      <c r="H25" s="46">
        <v>0.89588667781995934</v>
      </c>
      <c r="I25" s="45"/>
      <c r="J25" s="45"/>
      <c r="K25" s="45"/>
      <c r="L25" s="45"/>
      <c r="M25" s="45"/>
      <c r="N25" s="45"/>
      <c r="O25" s="45"/>
      <c r="P25" s="45"/>
      <c r="Q25" s="45"/>
      <c r="R25" s="45"/>
      <c r="S25" s="45"/>
      <c r="T25" s="45"/>
      <c r="U25" s="45"/>
      <c r="V25" s="45"/>
      <c r="W25" s="45"/>
    </row>
    <row r="26" spans="2:23" s="17" customFormat="1" ht="15.6">
      <c r="C26" s="35">
        <v>25</v>
      </c>
      <c r="D26" s="46">
        <v>11.502962796107512</v>
      </c>
      <c r="G26" s="35">
        <v>25</v>
      </c>
      <c r="H26" s="46">
        <v>0.94567792767033498</v>
      </c>
      <c r="I26" s="46"/>
      <c r="J26" s="46"/>
      <c r="K26" s="46"/>
      <c r="L26" s="46"/>
      <c r="M26" s="46"/>
      <c r="N26" s="46"/>
      <c r="O26" s="46"/>
      <c r="P26" s="46"/>
      <c r="Q26" s="46"/>
      <c r="R26" s="46"/>
      <c r="S26" s="46"/>
      <c r="T26" s="46"/>
      <c r="U26" s="46"/>
      <c r="V26" s="46"/>
      <c r="W26" s="46"/>
    </row>
    <row r="27" spans="2:23" s="17" customFormat="1" ht="15.6">
      <c r="C27" s="35">
        <v>26</v>
      </c>
      <c r="D27" s="46">
        <v>11.538823230668305</v>
      </c>
      <c r="G27" s="35">
        <v>26</v>
      </c>
      <c r="H27" s="46">
        <v>1.0007336893139953</v>
      </c>
      <c r="I27" s="46"/>
      <c r="J27" s="46"/>
      <c r="K27" s="46"/>
      <c r="L27" s="46"/>
      <c r="M27" s="46"/>
      <c r="N27" s="46"/>
      <c r="O27" s="46"/>
      <c r="P27" s="46"/>
      <c r="Q27" s="46"/>
      <c r="R27" s="46"/>
      <c r="S27" s="46"/>
      <c r="T27" s="46"/>
      <c r="U27" s="46"/>
      <c r="V27" s="46"/>
      <c r="W27" s="46"/>
    </row>
    <row r="28" spans="2:23" s="17" customFormat="1" ht="15.6">
      <c r="C28" s="35">
        <v>27</v>
      </c>
      <c r="D28" s="46">
        <v>11.565172742392534</v>
      </c>
      <c r="G28" s="35">
        <v>27</v>
      </c>
      <c r="H28" s="46">
        <v>1.0606070981183819</v>
      </c>
      <c r="I28" s="46"/>
      <c r="J28" s="46"/>
      <c r="K28" s="46"/>
      <c r="L28" s="46"/>
      <c r="M28" s="46"/>
      <c r="N28" s="46"/>
      <c r="O28" s="46"/>
      <c r="P28" s="46"/>
      <c r="Q28" s="46"/>
      <c r="R28" s="46"/>
      <c r="S28" s="46"/>
      <c r="T28" s="46"/>
      <c r="U28" s="46"/>
      <c r="V28" s="46"/>
      <c r="W28" s="46"/>
    </row>
    <row r="29" spans="2:23" s="17" customFormat="1" ht="15.6">
      <c r="C29" s="35">
        <v>28</v>
      </c>
      <c r="D29" s="46">
        <v>11.581657440463328</v>
      </c>
      <c r="G29" s="35">
        <v>28</v>
      </c>
      <c r="H29" s="46">
        <v>1.1258030639319949</v>
      </c>
    </row>
    <row r="30" spans="2:23" s="17" customFormat="1" ht="15.6">
      <c r="C30" s="35">
        <v>29</v>
      </c>
      <c r="D30" s="46">
        <v>11.588103145699884</v>
      </c>
      <c r="G30" s="35">
        <v>29</v>
      </c>
      <c r="H30" s="46">
        <v>1.1970979680575522</v>
      </c>
      <c r="I30" s="25"/>
    </row>
    <row r="31" spans="2:23" s="17" customFormat="1" ht="15.6">
      <c r="C31" s="35">
        <v>30</v>
      </c>
      <c r="D31" s="46">
        <v>11.584244660363151</v>
      </c>
      <c r="G31" s="35">
        <v>30</v>
      </c>
      <c r="H31" s="46">
        <v>1.2752295945748613</v>
      </c>
      <c r="I31" s="25"/>
    </row>
    <row r="32" spans="2:23" s="17" customFormat="1" ht="15.6">
      <c r="C32" s="35">
        <v>31</v>
      </c>
      <c r="D32" s="46">
        <v>11.569771852700718</v>
      </c>
      <c r="G32" s="35">
        <v>31</v>
      </c>
      <c r="H32" s="46">
        <v>1.3609666438192245</v>
      </c>
      <c r="I32" s="25"/>
    </row>
    <row r="33" spans="2:9" s="17" customFormat="1" ht="15.6">
      <c r="C33" s="35">
        <v>32</v>
      </c>
      <c r="D33" s="46">
        <v>11.544315321977713</v>
      </c>
      <c r="G33" s="35">
        <v>32</v>
      </c>
      <c r="H33" s="46">
        <v>1.4551110028351191</v>
      </c>
      <c r="I33" s="25"/>
    </row>
    <row r="34" spans="2:9" s="17" customFormat="1" ht="15.6">
      <c r="C34" s="35">
        <v>33</v>
      </c>
      <c r="D34" s="46">
        <v>11.507445078968718</v>
      </c>
      <c r="G34" s="35">
        <v>33</v>
      </c>
      <c r="H34" s="46">
        <v>1.5585179189654916</v>
      </c>
      <c r="I34" s="25"/>
    </row>
    <row r="35" spans="2:9" s="17" customFormat="1" ht="15.6">
      <c r="C35" s="35">
        <v>34</v>
      </c>
      <c r="D35" s="46">
        <v>11.458559159599833</v>
      </c>
      <c r="G35" s="35">
        <v>34</v>
      </c>
      <c r="H35" s="46">
        <v>1.6720139474916424</v>
      </c>
      <c r="I35" s="25"/>
    </row>
    <row r="36" spans="2:9" s="17" customFormat="1" ht="15.6">
      <c r="C36" s="35">
        <v>35</v>
      </c>
      <c r="D36" s="46">
        <v>11.397244753558839</v>
      </c>
      <c r="G36" s="35">
        <v>35</v>
      </c>
      <c r="H36" s="46">
        <v>1.7967774674461219</v>
      </c>
      <c r="I36" s="25"/>
    </row>
    <row r="37" spans="2:9" s="17" customFormat="1" ht="15.6">
      <c r="C37" s="35">
        <v>36</v>
      </c>
      <c r="D37" s="46">
        <v>11.322766977094901</v>
      </c>
      <c r="G37" s="35">
        <v>36</v>
      </c>
      <c r="H37" s="46">
        <v>1.9338833824753121</v>
      </c>
      <c r="I37" s="25"/>
    </row>
    <row r="38" spans="2:9" s="17" customFormat="1" ht="15.6">
      <c r="C38" s="35">
        <v>37</v>
      </c>
      <c r="D38" s="46">
        <v>11.234082675487025</v>
      </c>
      <c r="G38" s="35">
        <v>37</v>
      </c>
      <c r="H38" s="46">
        <v>2.0843811895247422</v>
      </c>
      <c r="I38" s="25"/>
    </row>
    <row r="39" spans="2:9" s="17" customFormat="1" ht="15.6">
      <c r="C39" s="35">
        <v>38</v>
      </c>
      <c r="D39" s="46">
        <v>11.130071338159627</v>
      </c>
      <c r="G39" s="35">
        <v>38</v>
      </c>
      <c r="H39" s="46">
        <v>2.249591352237863</v>
      </c>
      <c r="I39" s="25"/>
    </row>
    <row r="40" spans="2:9" s="17" customFormat="1" ht="15.6">
      <c r="C40" s="35">
        <v>39</v>
      </c>
      <c r="D40" s="46">
        <v>11.009367597659439</v>
      </c>
      <c r="G40" s="35">
        <v>39</v>
      </c>
      <c r="H40" s="46">
        <v>2.4310340803866595</v>
      </c>
    </row>
    <row r="41" spans="2:9" s="17" customFormat="1" ht="15.6">
      <c r="C41" s="35">
        <v>40</v>
      </c>
      <c r="D41" s="46">
        <v>10.870260215244109</v>
      </c>
      <c r="G41" s="35">
        <v>40</v>
      </c>
      <c r="H41" s="46">
        <v>2.6304675258492485</v>
      </c>
    </row>
    <row r="42" spans="2:9" s="17" customFormat="1" ht="15.6"/>
    <row r="43" spans="2:9" s="17" customFormat="1" ht="15.6">
      <c r="B43" s="17" t="s">
        <v>175</v>
      </c>
      <c r="C43" s="17" t="s">
        <v>168</v>
      </c>
      <c r="D43" s="18"/>
      <c r="E43" s="26"/>
      <c r="F43" s="17" t="s">
        <v>176</v>
      </c>
      <c r="G43" s="17" t="s">
        <v>168</v>
      </c>
      <c r="H43" s="18"/>
    </row>
    <row r="44" spans="2:9" s="17" customFormat="1" ht="15.6">
      <c r="C44" s="35">
        <v>24</v>
      </c>
      <c r="D44" s="46">
        <v>5.6503510075993475</v>
      </c>
      <c r="E44" s="26"/>
      <c r="G44" s="35">
        <v>24</v>
      </c>
      <c r="H44" s="27">
        <v>0.2</v>
      </c>
    </row>
    <row r="45" spans="2:9" s="17" customFormat="1" ht="15.6">
      <c r="C45" s="35">
        <v>25</v>
      </c>
      <c r="D45" s="46">
        <v>6.0320850715327605</v>
      </c>
      <c r="E45" s="26"/>
      <c r="G45" s="35">
        <v>25</v>
      </c>
      <c r="H45" s="27">
        <v>0.2</v>
      </c>
    </row>
    <row r="46" spans="2:9" s="17" customFormat="1" ht="15.6">
      <c r="C46" s="35">
        <v>26</v>
      </c>
      <c r="D46" s="46">
        <v>6.415325521342047</v>
      </c>
      <c r="E46" s="26"/>
      <c r="G46" s="35">
        <v>26</v>
      </c>
      <c r="H46" s="27">
        <v>0.2</v>
      </c>
    </row>
    <row r="47" spans="2:9" s="17" customFormat="1" ht="15.6">
      <c r="C47" s="35">
        <v>27</v>
      </c>
      <c r="D47" s="46">
        <v>6.8015669021192027</v>
      </c>
      <c r="E47" s="26"/>
      <c r="G47" s="35">
        <v>27</v>
      </c>
      <c r="H47" s="27">
        <v>0.2</v>
      </c>
    </row>
    <row r="48" spans="2:9" s="17" customFormat="1" ht="15.6">
      <c r="C48" s="35">
        <v>28</v>
      </c>
      <c r="D48" s="46">
        <v>7.1905154941194578</v>
      </c>
      <c r="E48" s="26"/>
      <c r="G48" s="35">
        <v>28</v>
      </c>
      <c r="H48" s="27">
        <v>0.2</v>
      </c>
    </row>
    <row r="49" spans="2:8" s="17" customFormat="1" ht="15.6">
      <c r="C49" s="35">
        <v>29</v>
      </c>
      <c r="D49" s="46">
        <v>7.5814056425638929</v>
      </c>
      <c r="E49" s="26"/>
      <c r="G49" s="35">
        <v>29</v>
      </c>
      <c r="H49" s="27">
        <v>0.2</v>
      </c>
    </row>
    <row r="50" spans="2:8" s="17" customFormat="1" ht="15.6">
      <c r="C50" s="35">
        <v>30</v>
      </c>
      <c r="D50" s="46">
        <v>7.973618835272049</v>
      </c>
      <c r="E50" s="26"/>
      <c r="G50" s="35">
        <v>30</v>
      </c>
      <c r="H50" s="27">
        <v>0.2</v>
      </c>
    </row>
    <row r="51" spans="2:8" s="17" customFormat="1" ht="15.6">
      <c r="C51" s="35">
        <v>31</v>
      </c>
      <c r="D51" s="46">
        <v>8.3665577005486238</v>
      </c>
      <c r="E51" s="26"/>
      <c r="G51" s="35">
        <v>31</v>
      </c>
      <c r="H51" s="27">
        <v>0.2</v>
      </c>
    </row>
    <row r="52" spans="2:8" s="17" customFormat="1" ht="15.6">
      <c r="C52" s="35">
        <v>32</v>
      </c>
      <c r="D52" s="46">
        <v>8.7596561129153425</v>
      </c>
      <c r="E52" s="26"/>
      <c r="G52" s="35">
        <v>32</v>
      </c>
      <c r="H52" s="27">
        <v>0.2</v>
      </c>
    </row>
    <row r="53" spans="2:8" s="17" customFormat="1" ht="15.6">
      <c r="C53" s="35">
        <v>33</v>
      </c>
      <c r="D53" s="46">
        <v>9.1523565325024396</v>
      </c>
      <c r="E53" s="26"/>
      <c r="G53" s="35">
        <v>33</v>
      </c>
      <c r="H53" s="27">
        <v>0.2</v>
      </c>
    </row>
    <row r="54" spans="2:8" s="17" customFormat="1" ht="15.6">
      <c r="C54" s="35">
        <v>34</v>
      </c>
      <c r="D54" s="46">
        <v>9.5443078123904748</v>
      </c>
      <c r="E54" s="26"/>
      <c r="G54" s="35">
        <v>34</v>
      </c>
      <c r="H54" s="27">
        <v>0.2</v>
      </c>
    </row>
    <row r="55" spans="2:8" s="17" customFormat="1" ht="15.6">
      <c r="C55" s="35">
        <v>35</v>
      </c>
      <c r="D55" s="46">
        <v>9.9345910763774743</v>
      </c>
      <c r="E55" s="26"/>
      <c r="G55" s="35">
        <v>35</v>
      </c>
      <c r="H55" s="27">
        <v>0.2</v>
      </c>
    </row>
    <row r="56" spans="2:8" s="17" customFormat="1" ht="15.6">
      <c r="C56" s="35">
        <v>36</v>
      </c>
      <c r="D56" s="46">
        <v>10.322722572459359</v>
      </c>
      <c r="E56" s="18"/>
      <c r="G56" s="35">
        <v>36</v>
      </c>
      <c r="H56" s="27">
        <v>0.2</v>
      </c>
    </row>
    <row r="57" spans="2:8" s="17" customFormat="1" ht="15.6">
      <c r="C57" s="35">
        <v>37</v>
      </c>
      <c r="D57" s="46">
        <v>10.708544969886834</v>
      </c>
      <c r="E57" s="18"/>
      <c r="G57" s="35">
        <v>37</v>
      </c>
      <c r="H57" s="27">
        <v>0.2</v>
      </c>
    </row>
    <row r="58" spans="2:8" s="17" customFormat="1" ht="15.6">
      <c r="C58" s="35">
        <v>38</v>
      </c>
      <c r="D58" s="46">
        <v>11.09167649812548</v>
      </c>
      <c r="E58" s="18"/>
      <c r="F58" s="3"/>
      <c r="G58" s="35">
        <v>38</v>
      </c>
      <c r="H58" s="27">
        <v>0.2</v>
      </c>
    </row>
    <row r="59" spans="2:8" ht="15.6">
      <c r="B59" s="17"/>
      <c r="C59" s="35">
        <v>39</v>
      </c>
      <c r="D59" s="46">
        <v>11.471749633195856</v>
      </c>
      <c r="E59" s="18"/>
      <c r="G59" s="35">
        <v>39</v>
      </c>
      <c r="H59" s="27">
        <v>0.2</v>
      </c>
    </row>
    <row r="60" spans="2:8" ht="15.6">
      <c r="B60" s="17"/>
      <c r="C60" s="35">
        <v>40</v>
      </c>
      <c r="D60" s="46">
        <v>11.84846321834652</v>
      </c>
      <c r="E60" s="26"/>
      <c r="G60" s="35">
        <v>40</v>
      </c>
      <c r="H60" s="27">
        <v>0.2</v>
      </c>
    </row>
    <row r="61" spans="2:8" ht="15.6">
      <c r="B61" s="17"/>
      <c r="C61" s="17"/>
      <c r="D61" s="27"/>
    </row>
    <row r="62" spans="2:8" ht="15.6">
      <c r="B62" s="17"/>
      <c r="C62" s="17"/>
      <c r="D62" s="27"/>
    </row>
    <row r="63" spans="2:8" ht="15.6">
      <c r="B63" s="17"/>
      <c r="C63" s="17"/>
      <c r="D63" s="27"/>
    </row>
    <row r="64" spans="2:8" ht="15.6">
      <c r="B64" s="17"/>
      <c r="C64" s="17"/>
      <c r="D64" s="27"/>
    </row>
    <row r="65" spans="4:4" ht="15.6">
      <c r="D65" s="27"/>
    </row>
    <row r="66" spans="4:4" ht="15.6">
      <c r="D66" s="27"/>
    </row>
  </sheetData>
  <phoneticPr fontId="13"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9"/>
  <dimension ref="A1:M21"/>
  <sheetViews>
    <sheetView topLeftCell="A5" zoomScale="85" zoomScaleNormal="85" workbookViewId="0">
      <selection activeCell="D8" sqref="D8"/>
    </sheetView>
  </sheetViews>
  <sheetFormatPr defaultRowHeight="12.6"/>
  <cols>
    <col min="1" max="1" width="16.140625" customWidth="1"/>
    <col min="2" max="2" width="10.5703125" customWidth="1"/>
    <col min="3" max="3" width="11.5703125" customWidth="1"/>
    <col min="4" max="4" width="17" customWidth="1"/>
    <col min="5" max="5" width="16.140625" customWidth="1"/>
    <col min="6" max="6" width="10.5703125" hidden="1" customWidth="1"/>
    <col min="8" max="8" width="17.85546875" hidden="1" customWidth="1"/>
    <col min="9" max="9" width="10.85546875" hidden="1" customWidth="1"/>
  </cols>
  <sheetData>
    <row r="1" spans="1:13" ht="20.100000000000001" customHeight="1">
      <c r="A1" s="8" t="s">
        <v>177</v>
      </c>
      <c r="C1" s="105" t="s">
        <v>178</v>
      </c>
      <c r="D1" s="105"/>
    </row>
    <row r="2" spans="1:13" ht="20.100000000000001" customHeight="1">
      <c r="A2" s="2"/>
      <c r="C2" s="48" t="s">
        <v>179</v>
      </c>
      <c r="D2" s="39" t="s">
        <v>180</v>
      </c>
    </row>
    <row r="3" spans="1:13" ht="20.100000000000001" customHeight="1">
      <c r="A3" s="29" t="s">
        <v>156</v>
      </c>
      <c r="B3" s="6"/>
      <c r="C3" s="38">
        <v>45288</v>
      </c>
      <c r="D3" s="38">
        <v>45309</v>
      </c>
      <c r="E3" s="29" t="s">
        <v>157</v>
      </c>
      <c r="F3" s="32" t="s">
        <v>181</v>
      </c>
      <c r="H3" s="33" t="s">
        <v>182</v>
      </c>
    </row>
    <row r="4" spans="1:13" ht="45" customHeight="1">
      <c r="A4" s="37">
        <v>5</v>
      </c>
      <c r="B4" s="6"/>
      <c r="C4" s="11" t="s">
        <v>183</v>
      </c>
      <c r="D4" s="11" t="s">
        <v>184</v>
      </c>
      <c r="E4" s="37">
        <v>4</v>
      </c>
      <c r="F4" s="31"/>
      <c r="H4" t="s">
        <v>185</v>
      </c>
      <c r="K4" s="49" t="s">
        <v>186</v>
      </c>
    </row>
    <row r="5" spans="1:13" ht="33.6" customHeight="1">
      <c r="A5" s="7"/>
      <c r="B5" s="6"/>
      <c r="C5" s="11" t="s">
        <v>187</v>
      </c>
      <c r="D5" s="11" t="s">
        <v>188</v>
      </c>
      <c r="E5" s="1"/>
    </row>
    <row r="6" spans="1:13" ht="20.100000000000001" customHeight="1">
      <c r="A6" s="6" t="s">
        <v>189</v>
      </c>
      <c r="B6" s="6">
        <v>1</v>
      </c>
      <c r="C6" s="6">
        <v>660</v>
      </c>
      <c r="D6" s="12">
        <v>0</v>
      </c>
      <c r="E6" s="6"/>
      <c r="F6" s="13">
        <v>533</v>
      </c>
    </row>
    <row r="7" spans="1:13" ht="20.100000000000001" customHeight="1">
      <c r="A7" s="6" t="s">
        <v>190</v>
      </c>
      <c r="B7" s="6">
        <v>2</v>
      </c>
      <c r="C7" s="6">
        <v>0</v>
      </c>
      <c r="D7" s="6">
        <v>8.5999999999999993E-2</v>
      </c>
      <c r="E7" s="30"/>
      <c r="F7" s="6">
        <v>7.5999999999999998E-2</v>
      </c>
    </row>
    <row r="8" spans="1:13" ht="20.100000000000001" customHeight="1">
      <c r="A8" s="6" t="s">
        <v>191</v>
      </c>
      <c r="B8" s="6">
        <v>3</v>
      </c>
      <c r="C8" s="6">
        <v>0</v>
      </c>
      <c r="D8" s="12">
        <v>9.2999999999999999E-2</v>
      </c>
      <c r="E8" s="30"/>
      <c r="F8" s="6">
        <v>8.3000000000000004E-2</v>
      </c>
    </row>
    <row r="9" spans="1:13" ht="20.100000000000001" customHeight="1">
      <c r="A9" s="6" t="s">
        <v>192</v>
      </c>
      <c r="B9" s="6">
        <v>4</v>
      </c>
      <c r="C9" s="6">
        <v>0</v>
      </c>
      <c r="D9" s="12">
        <v>0.10299999999999999</v>
      </c>
      <c r="E9" s="30"/>
      <c r="F9" s="6">
        <v>9.2999999999999999E-2</v>
      </c>
      <c r="M9" s="47"/>
    </row>
    <row r="10" spans="1:13" ht="20.100000000000001" customHeight="1">
      <c r="A10" s="6" t="s">
        <v>193</v>
      </c>
      <c r="B10" s="6">
        <v>5</v>
      </c>
      <c r="C10" s="6">
        <v>0</v>
      </c>
      <c r="D10" s="12">
        <v>0.13300000000000001</v>
      </c>
      <c r="E10" s="30"/>
      <c r="F10" s="6">
        <v>0.123</v>
      </c>
    </row>
    <row r="11" spans="1:13" ht="20.100000000000001" customHeight="1">
      <c r="A11" s="6" t="s">
        <v>194</v>
      </c>
      <c r="B11" s="6">
        <v>6</v>
      </c>
      <c r="C11" s="6">
        <v>0</v>
      </c>
      <c r="D11" s="12">
        <v>0.15</v>
      </c>
      <c r="E11" s="30"/>
      <c r="F11" s="6">
        <v>0.14000000000000001</v>
      </c>
    </row>
    <row r="12" spans="1:13" ht="20.100000000000001" customHeight="1">
      <c r="A12" s="6" t="s">
        <v>195</v>
      </c>
      <c r="B12" s="6">
        <v>7</v>
      </c>
      <c r="C12" s="6">
        <v>0</v>
      </c>
      <c r="D12" s="12">
        <v>0.17599999999999999</v>
      </c>
      <c r="E12" s="30"/>
      <c r="F12" s="6">
        <v>0.16600000000000001</v>
      </c>
    </row>
    <row r="13" spans="1:13" ht="20.100000000000001" customHeight="1">
      <c r="A13" s="6" t="s">
        <v>196</v>
      </c>
      <c r="B13" s="6">
        <v>8</v>
      </c>
      <c r="C13" s="6">
        <v>0</v>
      </c>
      <c r="D13" s="12">
        <v>0.223</v>
      </c>
      <c r="E13" s="30"/>
      <c r="F13" s="6">
        <v>0.21299999999999999</v>
      </c>
    </row>
    <row r="14" spans="1:13" ht="20.100000000000001" customHeight="1">
      <c r="A14" s="6" t="s">
        <v>197</v>
      </c>
      <c r="B14" s="6">
        <v>9</v>
      </c>
      <c r="C14" s="6">
        <v>0</v>
      </c>
      <c r="D14" s="12">
        <v>0.315</v>
      </c>
      <c r="E14" s="30"/>
      <c r="F14" s="6">
        <v>0.30499999999999999</v>
      </c>
    </row>
    <row r="16" spans="1:13">
      <c r="A16" s="1"/>
    </row>
    <row r="17" spans="1:1">
      <c r="A17" s="10"/>
    </row>
    <row r="18" spans="1:1">
      <c r="A18" s="1"/>
    </row>
    <row r="19" spans="1:1">
      <c r="A19" s="1"/>
    </row>
    <row r="20" spans="1:1">
      <c r="A20" s="1"/>
    </row>
    <row r="21" spans="1:1">
      <c r="A21" s="1"/>
    </row>
  </sheetData>
  <mergeCells count="1">
    <mergeCell ref="C1:D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ul10"/>
  <dimension ref="A1:T7"/>
  <sheetViews>
    <sheetView workbookViewId="0">
      <selection activeCell="F7" sqref="F7"/>
    </sheetView>
  </sheetViews>
  <sheetFormatPr defaultRowHeight="12.6"/>
  <cols>
    <col min="2" max="5" width="16.5703125" customWidth="1"/>
    <col min="6" max="6" width="15.5703125" customWidth="1"/>
  </cols>
  <sheetData>
    <row r="1" spans="1:20" ht="18.600000000000001">
      <c r="A1" s="8" t="s">
        <v>198</v>
      </c>
    </row>
    <row r="3" spans="1:20" s="6" customFormat="1" ht="15.6">
      <c r="B3" s="6" t="s">
        <v>199</v>
      </c>
      <c r="F3" s="9"/>
      <c r="G3" s="14"/>
      <c r="H3" s="40"/>
      <c r="I3" s="14"/>
      <c r="J3" s="14"/>
      <c r="K3" s="14"/>
      <c r="L3" s="14"/>
      <c r="M3" s="14"/>
      <c r="N3" s="14"/>
      <c r="O3" s="14"/>
      <c r="P3" s="14"/>
      <c r="Q3" s="14"/>
      <c r="R3" s="14"/>
      <c r="S3" s="14"/>
      <c r="T3" s="14"/>
    </row>
    <row r="4" spans="1:20" s="6" customFormat="1" ht="15.6"/>
    <row r="5" spans="1:20" s="6" customFormat="1" ht="15.6">
      <c r="D5" s="44" t="s">
        <v>156</v>
      </c>
      <c r="E5" s="43" t="s">
        <v>157</v>
      </c>
      <c r="F5" s="43" t="s">
        <v>158</v>
      </c>
    </row>
    <row r="6" spans="1:20" s="6" customFormat="1" ht="15.6">
      <c r="B6" s="6" t="s">
        <v>200</v>
      </c>
      <c r="D6" s="42" t="e">
        <f>746*POWER(#REF!,-0.581)</f>
        <v>#REF!</v>
      </c>
      <c r="E6" s="42" t="e">
        <f>746*POWER(#REF!,-0.581)</f>
        <v>#REF!</v>
      </c>
      <c r="F6" s="42" t="e">
        <f>746*POWER(#REF!,-0.581)</f>
        <v>#REF!</v>
      </c>
      <c r="G6" s="13"/>
      <c r="H6" s="13"/>
      <c r="K6" s="13"/>
      <c r="L6" s="13"/>
      <c r="M6" s="13"/>
      <c r="N6" s="13"/>
      <c r="O6" s="13"/>
      <c r="P6" s="13"/>
      <c r="Q6" s="13"/>
      <c r="R6" s="13"/>
      <c r="S6" s="13"/>
      <c r="T6" s="13"/>
    </row>
    <row r="7" spans="1:20" s="6" customFormat="1" ht="15.6"/>
  </sheetData>
  <phoneticPr fontId="13"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ul6"/>
  <dimension ref="A1:H9"/>
  <sheetViews>
    <sheetView workbookViewId="0">
      <selection activeCell="G9" sqref="G9"/>
    </sheetView>
  </sheetViews>
  <sheetFormatPr defaultRowHeight="12.6"/>
  <cols>
    <col min="2" max="4" width="9.42578125" bestFit="1" customWidth="1"/>
    <col min="5" max="5" width="13.42578125" customWidth="1"/>
    <col min="6" max="6" width="9.42578125" bestFit="1" customWidth="1"/>
    <col min="7" max="7" width="12.5703125" customWidth="1"/>
    <col min="8" max="8" width="9.42578125" bestFit="1" customWidth="1"/>
  </cols>
  <sheetData>
    <row r="1" spans="1:8" ht="18.600000000000001">
      <c r="A1" s="8" t="s">
        <v>201</v>
      </c>
    </row>
    <row r="3" spans="1:8" s="6" customFormat="1" ht="15.6">
      <c r="A3" s="6" t="s">
        <v>202</v>
      </c>
      <c r="B3" s="6" t="s">
        <v>203</v>
      </c>
    </row>
    <row r="4" spans="1:8" s="6" customFormat="1" ht="15.6"/>
    <row r="5" spans="1:8" s="6" customFormat="1" ht="15.6">
      <c r="A5" s="6" t="s">
        <v>204</v>
      </c>
    </row>
    <row r="6" spans="1:8" s="6" customFormat="1" ht="15.6"/>
    <row r="7" spans="1:8" s="6" customFormat="1" ht="15.6">
      <c r="E7" s="44" t="s">
        <v>156</v>
      </c>
      <c r="F7" s="43" t="s">
        <v>157</v>
      </c>
      <c r="G7" s="43" t="s">
        <v>158</v>
      </c>
    </row>
    <row r="8" spans="1:8" s="6" customFormat="1" ht="15.6">
      <c r="A8" s="6" t="s">
        <v>205</v>
      </c>
      <c r="C8" s="4"/>
      <c r="D8" s="4"/>
      <c r="E8" s="41" t="e">
        <f>(((1295*POWER(#REF!,-0.383)))/103.41)*112.65</f>
        <v>#REF!</v>
      </c>
      <c r="F8" s="41" t="e">
        <f>(((1295*POWER(#REF!,-0.383)))/103.41)*112.65</f>
        <v>#REF!</v>
      </c>
      <c r="G8" s="41" t="e">
        <f>(((1295*POWER(#REF!,-0.383)))/103.41)*112.65</f>
        <v>#REF!</v>
      </c>
      <c r="H8" s="4"/>
    </row>
    <row r="9" spans="1:8" s="6" customFormat="1" ht="15.6"/>
  </sheetData>
  <phoneticPr fontId="13"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7C2D95434760F24492439018D3545B3C" ma:contentTypeVersion="18" ma:contentTypeDescription="Luo uusi asiakirja." ma:contentTypeScope="" ma:versionID="7f2bf51ef7d180fdda813562ef68c184">
  <xsd:schema xmlns:xsd="http://www.w3.org/2001/XMLSchema" xmlns:xs="http://www.w3.org/2001/XMLSchema" xmlns:p="http://schemas.microsoft.com/office/2006/metadata/properties" xmlns:ns2="a17cc285-bdd9-4625-bbe7-501cb46bab33" xmlns:ns3="44350a0c-cd11-4982-8339-97c29a343456" targetNamespace="http://schemas.microsoft.com/office/2006/metadata/properties" ma:root="true" ma:fieldsID="3b401a166d4eef3b96bd7278019d1b56" ns2:_="" ns3:_="">
    <xsd:import namespace="a17cc285-bdd9-4625-bbe7-501cb46bab33"/>
    <xsd:import namespace="44350a0c-cd11-4982-8339-97c29a34345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Location" minOccurs="0"/>
                <xsd:element ref="ns2:MediaLengthInSeconds" minOccurs="0"/>
                <xsd:element ref="ns2:Sis_x00e4_lt_x00f6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cc285-bdd9-4625-bbe7-501cb46bab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Kuvien tunnisteet" ma:readOnly="false" ma:fieldId="{5cf76f15-5ced-4ddc-b409-7134ff3c332f}" ma:taxonomyMulti="true" ma:sspId="27ee12cc-49ea-458b-8a70-8770974bc7e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Sis_x00e4_lt_x00f6_" ma:index="23" nillable="true" ma:displayName="Sisältö" ma:format="Dropdown" ma:internalName="Sis_x00e4_lt_x00f6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350a0c-cd11-4982-8339-97c29a343456" elementFormDefault="qualified">
    <xsd:import namespace="http://schemas.microsoft.com/office/2006/documentManagement/types"/>
    <xsd:import namespace="http://schemas.microsoft.com/office/infopath/2007/PartnerControls"/>
    <xsd:element name="SharedWithUsers" ma:index="11"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Jakamisen tiedot" ma:internalName="SharedWithDetails" ma:readOnly="true">
      <xsd:simpleType>
        <xsd:restriction base="dms:Note">
          <xsd:maxLength value="255"/>
        </xsd:restriction>
      </xsd:simpleType>
    </xsd:element>
    <xsd:element name="TaxCatchAll" ma:index="15" nillable="true" ma:displayName="Taxonomy Catch All Column" ma:hidden="true" ma:list="{b9c9368b-bc28-4490-8738-6c2c238c407c}" ma:internalName="TaxCatchAll" ma:showField="CatchAllData" ma:web="44350a0c-cd11-4982-8339-97c29a3434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350a0c-cd11-4982-8339-97c29a343456" xsi:nil="true"/>
    <lcf76f155ced4ddcb4097134ff3c332f xmlns="a17cc285-bdd9-4625-bbe7-501cb46bab33">
      <Terms xmlns="http://schemas.microsoft.com/office/infopath/2007/PartnerControls"/>
    </lcf76f155ced4ddcb4097134ff3c332f>
    <Sis_x00e4_lt_x00f6_ xmlns="a17cc285-bdd9-4625-bbe7-501cb46bab33" xsi:nil="true"/>
  </documentManagement>
</p:properties>
</file>

<file path=customXml/itemProps1.xml><?xml version="1.0" encoding="utf-8"?>
<ds:datastoreItem xmlns:ds="http://schemas.openxmlformats.org/officeDocument/2006/customXml" ds:itemID="{6BFD0FE7-CE32-4255-96FF-C396BF922A02}"/>
</file>

<file path=customXml/itemProps2.xml><?xml version="1.0" encoding="utf-8"?>
<ds:datastoreItem xmlns:ds="http://schemas.openxmlformats.org/officeDocument/2006/customXml" ds:itemID="{53399BCA-5E24-4004-85FE-08F1D9BF3021}"/>
</file>

<file path=customXml/itemProps3.xml><?xml version="1.0" encoding="utf-8"?>
<ds:datastoreItem xmlns:ds="http://schemas.openxmlformats.org/officeDocument/2006/customXml" ds:itemID="{FC53E811-BB6B-4212-97AE-9D0815B1CC86}"/>
</file>

<file path=docProps/app.xml><?xml version="1.0" encoding="utf-8"?>
<Properties xmlns="http://schemas.openxmlformats.org/officeDocument/2006/extended-properties" xmlns:vt="http://schemas.openxmlformats.org/officeDocument/2006/docPropsVTypes">
  <Application>Microsoft Excel Online</Application>
  <Manager/>
  <Company>MTTL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jaanaa</dc:creator>
  <cp:keywords/>
  <dc:description/>
  <cp:lastModifiedBy>Karoliina Mäki</cp:lastModifiedBy>
  <cp:revision/>
  <dcterms:created xsi:type="dcterms:W3CDTF">2001-12-13T13:36:01Z</dcterms:created>
  <dcterms:modified xsi:type="dcterms:W3CDTF">2026-02-17T08:26:42Z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0x0101007C2D95434760F24492439018D3545B3C</vt:lpwstr>
  </property>
  <property fmtid="{D5CDD505-2E9C-101B-9397-08002B2CF9AE}" pid="4" name="MediaServiceImageTags">
    <vt:lpwstr/>
  </property>
  <property fmtid="{D5CDD505-2E9C-101B-9397-08002B2CF9AE}" pid="5" name="_ExtendedDescription">
    <vt:lpwstr/>
  </property>
</Properties>
</file>